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codeName="ThisWorkbook" defaultThemeVersion="124226"/>
  <mc:AlternateContent xmlns:mc="http://schemas.openxmlformats.org/markup-compatibility/2006">
    <mc:Choice Requires="x15">
      <x15ac:absPath xmlns:x15ac="http://schemas.microsoft.com/office/spreadsheetml/2010/11/ac" url="K:\税務課\@令和7年度\3検討中フォルダ\01　住民税\03国民健康保険税\★R7個人用試算エクセル\R8\ホームページ掲載分\"/>
    </mc:Choice>
  </mc:AlternateContent>
  <xr:revisionPtr revIDLastSave="0" documentId="13_ncr:1_{DB1377FC-0241-4686-BA5C-2BC519979100}" xr6:coauthVersionLast="36" xr6:coauthVersionMax="36" xr10:uidLastSave="{00000000-0000-0000-0000-000000000000}"/>
  <bookViews>
    <workbookView xWindow="-120" yWindow="-120" windowWidth="19440" windowHeight="15000" xr2:uid="{00000000-000D-0000-FFFF-FFFF00000000}"/>
  </bookViews>
  <sheets>
    <sheet name="令和8年度" sheetId="13" r:id="rId1"/>
    <sheet name="給与収入 (R8)" sheetId="11" r:id="rId2"/>
    <sheet name="年金収入 " sheetId="12" r:id="rId3"/>
    <sheet name="早読表" sheetId="14" r:id="rId4"/>
  </sheets>
  <definedNames>
    <definedName name="_xlnm.Print_Area" localSheetId="1">'給与収入 (R8)'!$A$1:$I$25</definedName>
    <definedName name="_xlnm.Print_Area" localSheetId="0">令和8年度!$A$1:$N$55</definedName>
  </definedNames>
  <calcPr calcId="191029"/>
</workbook>
</file>

<file path=xl/calcChain.xml><?xml version="1.0" encoding="utf-8"?>
<calcChain xmlns="http://schemas.openxmlformats.org/spreadsheetml/2006/main">
  <c r="O24" i="14" l="1"/>
  <c r="O25" i="14"/>
  <c r="O26" i="14"/>
  <c r="O23" i="14"/>
  <c r="N18" i="14"/>
  <c r="O18" i="14" s="1"/>
  <c r="N17" i="14"/>
  <c r="N16" i="14"/>
  <c r="N13" i="14"/>
  <c r="N14" i="14"/>
  <c r="N15" i="14"/>
  <c r="N12" i="14"/>
  <c r="O13" i="14"/>
  <c r="O14" i="14"/>
  <c r="O15" i="14"/>
  <c r="O16" i="14"/>
  <c r="O17" i="14"/>
  <c r="O12" i="14"/>
  <c r="G13" i="14"/>
  <c r="H13" i="14" s="1"/>
  <c r="G14" i="14"/>
  <c r="H14" i="14" s="1"/>
  <c r="G15" i="14"/>
  <c r="G16" i="14"/>
  <c r="H16" i="14" s="1"/>
  <c r="G17" i="14"/>
  <c r="H17" i="14" s="1"/>
  <c r="G18" i="14"/>
  <c r="H18" i="14" s="1"/>
  <c r="G19" i="14"/>
  <c r="G20" i="14"/>
  <c r="H20" i="14" s="1"/>
  <c r="G21" i="14"/>
  <c r="H21" i="14" s="1"/>
  <c r="G22" i="14"/>
  <c r="H22" i="14" s="1"/>
  <c r="G23" i="14"/>
  <c r="H23" i="14" s="1"/>
  <c r="G24" i="14"/>
  <c r="H24" i="14" s="1"/>
  <c r="G25" i="14"/>
  <c r="H25" i="14" s="1"/>
  <c r="G26" i="14"/>
  <c r="H26" i="14" s="1"/>
  <c r="G27" i="14"/>
  <c r="G28" i="14"/>
  <c r="H28" i="14" s="1"/>
  <c r="G29" i="14"/>
  <c r="H29" i="14" s="1"/>
  <c r="G30" i="14"/>
  <c r="H30" i="14" s="1"/>
  <c r="G31" i="14"/>
  <c r="H15" i="14"/>
  <c r="H19" i="14"/>
  <c r="H27" i="14"/>
  <c r="H31" i="14"/>
  <c r="G12" i="14"/>
  <c r="H12" i="14" s="1"/>
  <c r="D14" i="14"/>
  <c r="F31" i="14"/>
  <c r="C31" i="14"/>
  <c r="E31" i="14" s="1"/>
  <c r="C30" i="14"/>
  <c r="D30" i="14" s="1"/>
  <c r="E29" i="14"/>
  <c r="D29" i="14"/>
  <c r="C29" i="14"/>
  <c r="F29" i="14" s="1"/>
  <c r="C28" i="14"/>
  <c r="D28" i="14" s="1"/>
  <c r="C27" i="14"/>
  <c r="E27" i="14" s="1"/>
  <c r="M26" i="14"/>
  <c r="L26" i="14"/>
  <c r="C26" i="14"/>
  <c r="D26" i="14" s="1"/>
  <c r="M25" i="14"/>
  <c r="L25" i="14"/>
  <c r="F25" i="14"/>
  <c r="C25" i="14"/>
  <c r="E25" i="14" s="1"/>
  <c r="M24" i="14"/>
  <c r="L24" i="14"/>
  <c r="C24" i="14"/>
  <c r="F24" i="14" s="1"/>
  <c r="K23" i="14"/>
  <c r="K26" i="14" s="1"/>
  <c r="C23" i="14"/>
  <c r="F23" i="14" s="1"/>
  <c r="C22" i="14"/>
  <c r="F22" i="14" s="1"/>
  <c r="F21" i="14"/>
  <c r="D21" i="14"/>
  <c r="C21" i="14"/>
  <c r="E21" i="14" s="1"/>
  <c r="C20" i="14"/>
  <c r="D20" i="14" s="1"/>
  <c r="F19" i="14"/>
  <c r="E19" i="14"/>
  <c r="C19" i="14"/>
  <c r="D19" i="14" s="1"/>
  <c r="L18" i="14"/>
  <c r="E18" i="14"/>
  <c r="C18" i="14"/>
  <c r="F18" i="14" s="1"/>
  <c r="C17" i="14"/>
  <c r="E17" i="14" s="1"/>
  <c r="L16" i="14"/>
  <c r="C16" i="14"/>
  <c r="D16" i="14" s="1"/>
  <c r="M15" i="14"/>
  <c r="L15" i="14"/>
  <c r="K15" i="14"/>
  <c r="C15" i="14"/>
  <c r="E15" i="14" s="1"/>
  <c r="M14" i="14"/>
  <c r="L14" i="14"/>
  <c r="K14" i="14"/>
  <c r="F14" i="14"/>
  <c r="M13" i="14"/>
  <c r="L13" i="14"/>
  <c r="K13" i="14"/>
  <c r="F13" i="14"/>
  <c r="E13" i="14"/>
  <c r="D13" i="14"/>
  <c r="M12" i="14"/>
  <c r="M18" i="14" s="1"/>
  <c r="L12" i="14"/>
  <c r="L17" i="14" s="1"/>
  <c r="K12" i="14"/>
  <c r="K16" i="14" s="1"/>
  <c r="F12" i="14"/>
  <c r="E12" i="14"/>
  <c r="D12" i="14"/>
  <c r="D17" i="14" l="1"/>
  <c r="D23" i="14"/>
  <c r="E28" i="14"/>
  <c r="F15" i="14"/>
  <c r="F17" i="14"/>
  <c r="E23" i="14"/>
  <c r="E24" i="14"/>
  <c r="D25" i="14"/>
  <c r="F28" i="14"/>
  <c r="E22" i="14"/>
  <c r="F27" i="14"/>
  <c r="D15" i="14"/>
  <c r="E14" i="14"/>
  <c r="E16" i="14"/>
  <c r="K17" i="14"/>
  <c r="E20" i="14"/>
  <c r="E26" i="14"/>
  <c r="D27" i="14"/>
  <c r="E30" i="14"/>
  <c r="D31" i="14"/>
  <c r="F16" i="14"/>
  <c r="M16" i="14"/>
  <c r="D18" i="14"/>
  <c r="K18" i="14"/>
  <c r="F20" i="14"/>
  <c r="D22" i="14"/>
  <c r="D24" i="14"/>
  <c r="K24" i="14"/>
  <c r="F26" i="14"/>
  <c r="F30" i="14"/>
  <c r="M17" i="14"/>
  <c r="K25" i="14"/>
  <c r="C36" i="13" l="1"/>
  <c r="C35" i="13"/>
  <c r="E40" i="13" s="1"/>
  <c r="D33" i="13"/>
  <c r="D34" i="13" s="1"/>
  <c r="C33" i="13"/>
  <c r="N18" i="13"/>
  <c r="G18" i="13"/>
  <c r="G23" i="13" s="1"/>
  <c r="H23" i="13" s="1"/>
  <c r="E18" i="13"/>
  <c r="C15" i="13"/>
  <c r="N12" i="13"/>
  <c r="M12" i="13"/>
  <c r="L12" i="13"/>
  <c r="J12" i="13"/>
  <c r="H12" i="13"/>
  <c r="I12" i="13" s="1"/>
  <c r="N11" i="13"/>
  <c r="M11" i="13"/>
  <c r="L11" i="13"/>
  <c r="J11" i="13"/>
  <c r="H11" i="13"/>
  <c r="I11" i="13" s="1"/>
  <c r="N10" i="13"/>
  <c r="M10" i="13"/>
  <c r="L10" i="13"/>
  <c r="J10" i="13"/>
  <c r="H10" i="13"/>
  <c r="I10" i="13" s="1"/>
  <c r="N9" i="13"/>
  <c r="M9" i="13"/>
  <c r="L9" i="13"/>
  <c r="J9" i="13"/>
  <c r="H9" i="13"/>
  <c r="I9" i="13" s="1"/>
  <c r="N8" i="13"/>
  <c r="M8" i="13"/>
  <c r="L8" i="13"/>
  <c r="J8" i="13"/>
  <c r="H8" i="13"/>
  <c r="I8" i="13" s="1"/>
  <c r="N7" i="13"/>
  <c r="M7" i="13"/>
  <c r="J7" i="13"/>
  <c r="H7" i="13"/>
  <c r="I7" i="13" s="1"/>
  <c r="L7" i="13" s="1"/>
  <c r="N6" i="13"/>
  <c r="M6" i="13"/>
  <c r="J6" i="13"/>
  <c r="H6" i="13"/>
  <c r="I6" i="13" s="1"/>
  <c r="L6" i="13" s="1"/>
  <c r="N5" i="13"/>
  <c r="M5" i="13"/>
  <c r="J5" i="13"/>
  <c r="H5" i="13"/>
  <c r="I5" i="13" s="1"/>
  <c r="L5" i="13" s="1"/>
  <c r="F40" i="13" l="1"/>
  <c r="E35" i="13"/>
  <c r="E39" i="13" s="1"/>
  <c r="E33" i="13"/>
  <c r="C39" i="13" s="1"/>
  <c r="C40" i="13"/>
  <c r="N19" i="13"/>
  <c r="C22" i="13" s="1"/>
  <c r="C23" i="13" s="1"/>
  <c r="D44" i="13" s="1"/>
  <c r="C34" i="13"/>
  <c r="D40" i="13" s="1"/>
  <c r="E36" i="13"/>
  <c r="C41" i="13"/>
  <c r="E41" i="13"/>
  <c r="F19" i="11"/>
  <c r="F18" i="11"/>
  <c r="F17" i="11"/>
  <c r="F16" i="11"/>
  <c r="F15" i="11"/>
  <c r="L23" i="12"/>
  <c r="I23" i="12"/>
  <c r="F23" i="12"/>
  <c r="L22" i="12"/>
  <c r="I22" i="12"/>
  <c r="F22" i="12"/>
  <c r="L21" i="12"/>
  <c r="I21" i="12"/>
  <c r="F21" i="12"/>
  <c r="L20" i="12"/>
  <c r="I20" i="12"/>
  <c r="F20" i="12"/>
  <c r="L19" i="12"/>
  <c r="I19" i="12"/>
  <c r="F19" i="12"/>
  <c r="L14" i="12"/>
  <c r="I14" i="12"/>
  <c r="F14" i="12"/>
  <c r="L13" i="12"/>
  <c r="I13" i="12"/>
  <c r="F13" i="12"/>
  <c r="L12" i="12"/>
  <c r="I12" i="12"/>
  <c r="F12" i="12"/>
  <c r="L11" i="12"/>
  <c r="I11" i="12"/>
  <c r="F11" i="12"/>
  <c r="L10" i="12"/>
  <c r="I10" i="12"/>
  <c r="F10" i="12"/>
  <c r="F5" i="12"/>
  <c r="F14" i="11"/>
  <c r="F10" i="11"/>
  <c r="H11" i="11" s="1"/>
  <c r="F42" i="13" l="1"/>
  <c r="E45" i="13"/>
  <c r="E42" i="13"/>
  <c r="E44" i="13"/>
  <c r="C43" i="13"/>
  <c r="C44" i="13"/>
  <c r="D43" i="13"/>
  <c r="C42" i="13"/>
  <c r="E34" i="13"/>
  <c r="D39" i="13" s="1"/>
  <c r="F39" i="13"/>
  <c r="D42" i="13"/>
  <c r="D41" i="13"/>
  <c r="C45" i="13"/>
  <c r="F3" i="11"/>
  <c r="E46" i="13" l="1"/>
  <c r="D45" i="13"/>
  <c r="D46" i="13" s="1"/>
  <c r="C46" i="13"/>
  <c r="F45" i="13"/>
  <c r="F46" i="13" s="1"/>
  <c r="F53" i="13" l="1"/>
  <c r="F48" i="13"/>
  <c r="F50"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竹内 優希</author>
  </authors>
  <commentList>
    <comment ref="E5" authorId="0" shapeId="0" xr:uid="{00000000-0006-0000-0000-000001000000}">
      <text>
        <r>
          <rPr>
            <sz val="9"/>
            <color indexed="81"/>
            <rFont val="メイリオ"/>
            <family val="3"/>
            <charset val="128"/>
          </rPr>
          <t xml:space="preserve">資料記載の給与所得はすでに調整控除がされており、そのまま入力すると二重に控除されてしまうことがあります。
</t>
        </r>
        <r>
          <rPr>
            <b/>
            <u/>
            <sz val="9"/>
            <color indexed="81"/>
            <rFont val="メイリオ"/>
            <family val="3"/>
            <charset val="128"/>
          </rPr>
          <t>「給与収入」のシートで、収入から計算した所得を入力するようにしてください。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細川　雅弥</author>
  </authors>
  <commentList>
    <comment ref="F2" authorId="0" shapeId="0" xr:uid="{00000000-0006-0000-0100-000001000000}">
      <text>
        <r>
          <rPr>
            <b/>
            <sz val="16"/>
            <color indexed="81"/>
            <rFont val="ＭＳ Ｐゴシック"/>
            <family val="3"/>
            <charset val="128"/>
          </rPr>
          <t>ここに収入金額を入力してください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細川　雅弥</author>
  </authors>
  <commentList>
    <comment ref="F2" authorId="0" shapeId="0" xr:uid="{00000000-0006-0000-0200-000001000000}">
      <text>
        <r>
          <rPr>
            <b/>
            <sz val="16"/>
            <color indexed="81"/>
            <rFont val="ＭＳ Ｐゴシック"/>
            <family val="3"/>
            <charset val="128"/>
          </rPr>
          <t>ここに収入金額を入力してください</t>
        </r>
      </text>
    </comment>
    <comment ref="F3" authorId="0" shapeId="0" xr:uid="{00000000-0006-0000-0200-000002000000}">
      <text>
        <r>
          <rPr>
            <b/>
            <sz val="16"/>
            <color indexed="81"/>
            <rFont val="ＭＳ Ｐゴシック"/>
            <family val="3"/>
            <charset val="128"/>
          </rPr>
          <t>ここに年齢を入力してください</t>
        </r>
      </text>
    </comment>
  </commentList>
</comments>
</file>

<file path=xl/sharedStrings.xml><?xml version="1.0" encoding="utf-8"?>
<sst xmlns="http://schemas.openxmlformats.org/spreadsheetml/2006/main" count="267" uniqueCount="136">
  <si>
    <t>給与等の収入金額</t>
    <rPh sb="0" eb="2">
      <t>キュウヨ</t>
    </rPh>
    <rPh sb="2" eb="3">
      <t>トウ</t>
    </rPh>
    <rPh sb="4" eb="6">
      <t>シュウニュウ</t>
    </rPh>
    <rPh sb="6" eb="8">
      <t>キンガク</t>
    </rPh>
    <phoneticPr fontId="1"/>
  </si>
  <si>
    <t>円</t>
    <rPh sb="0" eb="1">
      <t>エン</t>
    </rPh>
    <phoneticPr fontId="1"/>
  </si>
  <si>
    <t>～</t>
    <phoneticPr fontId="1"/>
  </si>
  <si>
    <t>①</t>
    <phoneticPr fontId="1"/>
  </si>
  <si>
    <t>①　の　金　額</t>
    <rPh sb="4" eb="5">
      <t>キン</t>
    </rPh>
    <rPh sb="6" eb="7">
      <t>ガク</t>
    </rPh>
    <phoneticPr fontId="1"/>
  </si>
  <si>
    <t>給与所得の金額</t>
    <rPh sb="0" eb="2">
      <t>キュウヨ</t>
    </rPh>
    <rPh sb="2" eb="4">
      <t>ショトク</t>
    </rPh>
    <rPh sb="5" eb="7">
      <t>キンガク</t>
    </rPh>
    <phoneticPr fontId="1"/>
  </si>
  <si>
    <t>算出方法</t>
    <rPh sb="0" eb="2">
      <t>サンシュツ</t>
    </rPh>
    <rPh sb="2" eb="4">
      <t>ホウホウ</t>
    </rPh>
    <phoneticPr fontId="1"/>
  </si>
  <si>
    <t>0円</t>
    <rPh sb="1" eb="2">
      <t>エン</t>
    </rPh>
    <phoneticPr fontId="1"/>
  </si>
  <si>
    <t>公的年金等の収入金額</t>
    <rPh sb="0" eb="2">
      <t>コウテキ</t>
    </rPh>
    <rPh sb="2" eb="5">
      <t>ネンキントウ</t>
    </rPh>
    <rPh sb="6" eb="8">
      <t>シュウニュウ</t>
    </rPh>
    <rPh sb="8" eb="10">
      <t>キンガク</t>
    </rPh>
    <phoneticPr fontId="1"/>
  </si>
  <si>
    <t>雑所得の金額</t>
    <rPh sb="0" eb="1">
      <t>ザツ</t>
    </rPh>
    <rPh sb="1" eb="3">
      <t>ショトク</t>
    </rPh>
    <rPh sb="4" eb="6">
      <t>キンガク</t>
    </rPh>
    <phoneticPr fontId="1"/>
  </si>
  <si>
    <t>65歳以上の方の計算</t>
    <rPh sb="2" eb="5">
      <t>サイイジョウ</t>
    </rPh>
    <rPh sb="6" eb="7">
      <t>カタ</t>
    </rPh>
    <rPh sb="8" eb="10">
      <t>ケイサン</t>
    </rPh>
    <phoneticPr fontId="1"/>
  </si>
  <si>
    <t>歳</t>
    <rPh sb="0" eb="1">
      <t>サイ</t>
    </rPh>
    <phoneticPr fontId="1"/>
  </si>
  <si>
    <t>その年の１２月３１日時点の年齢</t>
    <rPh sb="2" eb="3">
      <t>トシ</t>
    </rPh>
    <rPh sb="6" eb="7">
      <t>ガツ</t>
    </rPh>
    <rPh sb="9" eb="10">
      <t>ニチ</t>
    </rPh>
    <rPh sb="10" eb="12">
      <t>ジテン</t>
    </rPh>
    <rPh sb="13" eb="15">
      <t>ネンレイ</t>
    </rPh>
    <phoneticPr fontId="1"/>
  </si>
  <si>
    <t>氏名</t>
    <rPh sb="0" eb="2">
      <t>シメイ</t>
    </rPh>
    <phoneticPr fontId="5"/>
  </si>
  <si>
    <t>年齢</t>
    <rPh sb="0" eb="2">
      <t>ネンレイ</t>
    </rPh>
    <phoneticPr fontId="5"/>
  </si>
  <si>
    <t>基準総所得</t>
    <rPh sb="0" eb="2">
      <t>キジュン</t>
    </rPh>
    <rPh sb="2" eb="5">
      <t>ソウショトク</t>
    </rPh>
    <phoneticPr fontId="5"/>
  </si>
  <si>
    <t>介護該当</t>
    <rPh sb="0" eb="2">
      <t>カイゴ</t>
    </rPh>
    <rPh sb="2" eb="4">
      <t>ガイトウ</t>
    </rPh>
    <phoneticPr fontId="5"/>
  </si>
  <si>
    <t>世帯主が国民健康保険に加入しますか？（１＝はい、2＝いいえ）</t>
    <rPh sb="0" eb="3">
      <t>セタイヌシ</t>
    </rPh>
    <rPh sb="4" eb="10">
      <t>コクホ</t>
    </rPh>
    <rPh sb="11" eb="13">
      <t>カニュウ</t>
    </rPh>
    <phoneticPr fontId="5"/>
  </si>
  <si>
    <t>Q3</t>
    <phoneticPr fontId="5"/>
  </si>
  <si>
    <t>【算定結果】</t>
    <rPh sb="1" eb="3">
      <t>サンテイ</t>
    </rPh>
    <rPh sb="3" eb="5">
      <t>ケッカ</t>
    </rPh>
    <phoneticPr fontId="5"/>
  </si>
  <si>
    <t>被保険者数</t>
    <rPh sb="0" eb="4">
      <t>ヒホケンシャ</t>
    </rPh>
    <rPh sb="4" eb="5">
      <t>スウ</t>
    </rPh>
    <phoneticPr fontId="5"/>
  </si>
  <si>
    <t>課税対象所得</t>
    <rPh sb="0" eb="2">
      <t>カゼイ</t>
    </rPh>
    <rPh sb="2" eb="4">
      <t>タイショウ</t>
    </rPh>
    <rPh sb="4" eb="6">
      <t>ショトク</t>
    </rPh>
    <phoneticPr fontId="5"/>
  </si>
  <si>
    <t>医療分</t>
    <rPh sb="0" eb="2">
      <t>イリョウ</t>
    </rPh>
    <rPh sb="2" eb="3">
      <t>ブン</t>
    </rPh>
    <phoneticPr fontId="5"/>
  </si>
  <si>
    <t>後期分</t>
    <rPh sb="0" eb="2">
      <t>コウキ</t>
    </rPh>
    <rPh sb="2" eb="3">
      <t>ブン</t>
    </rPh>
    <phoneticPr fontId="5"/>
  </si>
  <si>
    <t>介護分</t>
    <rPh sb="0" eb="2">
      <t>カイゴ</t>
    </rPh>
    <rPh sb="2" eb="3">
      <t>ブン</t>
    </rPh>
    <phoneticPr fontId="5"/>
  </si>
  <si>
    <t>軽減判定</t>
    <rPh sb="0" eb="2">
      <t>ケイゲン</t>
    </rPh>
    <rPh sb="2" eb="4">
      <t>ハンテイ</t>
    </rPh>
    <phoneticPr fontId="5"/>
  </si>
  <si>
    <t>税率</t>
    <rPh sb="0" eb="2">
      <t>ゼイリツ</t>
    </rPh>
    <phoneticPr fontId="5"/>
  </si>
  <si>
    <t>区分</t>
    <rPh sb="0" eb="2">
      <t>クブン</t>
    </rPh>
    <phoneticPr fontId="5"/>
  </si>
  <si>
    <t>所得割</t>
    <rPh sb="0" eb="2">
      <t>ショトク</t>
    </rPh>
    <rPh sb="2" eb="3">
      <t>ワリ</t>
    </rPh>
    <phoneticPr fontId="5"/>
  </si>
  <si>
    <t>均等割</t>
    <rPh sb="0" eb="3">
      <t>キントウワ</t>
    </rPh>
    <phoneticPr fontId="5"/>
  </si>
  <si>
    <t>平等割</t>
    <rPh sb="0" eb="2">
      <t>ビョウドウ</t>
    </rPh>
    <rPh sb="2" eb="3">
      <t>ワリ</t>
    </rPh>
    <phoneticPr fontId="5"/>
  </si>
  <si>
    <t>均等割軽減額</t>
    <rPh sb="0" eb="3">
      <t>キントウワ</t>
    </rPh>
    <rPh sb="3" eb="5">
      <t>ケイゲン</t>
    </rPh>
    <rPh sb="5" eb="6">
      <t>ガク</t>
    </rPh>
    <phoneticPr fontId="5"/>
  </si>
  <si>
    <t>課税限度額</t>
    <rPh sb="0" eb="2">
      <t>カゼイ</t>
    </rPh>
    <rPh sb="2" eb="4">
      <t>ゲンド</t>
    </rPh>
    <rPh sb="4" eb="5">
      <t>ガク</t>
    </rPh>
    <phoneticPr fontId="5"/>
  </si>
  <si>
    <t>平等割軽減額</t>
    <rPh sb="0" eb="2">
      <t>ビョウドウ</t>
    </rPh>
    <rPh sb="2" eb="3">
      <t>ワリ</t>
    </rPh>
    <rPh sb="3" eb="5">
      <t>ケイゲン</t>
    </rPh>
    <rPh sb="5" eb="6">
      <t>ガク</t>
    </rPh>
    <phoneticPr fontId="5"/>
  </si>
  <si>
    <t>限度超過額</t>
    <rPh sb="0" eb="2">
      <t>ゲンド</t>
    </rPh>
    <rPh sb="2" eb="5">
      <t>チョウカガク</t>
    </rPh>
    <phoneticPr fontId="5"/>
  </si>
  <si>
    <t>算定額</t>
    <rPh sb="0" eb="2">
      <t>サンテイ</t>
    </rPh>
    <rPh sb="2" eb="3">
      <t>ガク</t>
    </rPh>
    <phoneticPr fontId="5"/>
  </si>
  <si>
    <t>あなたの世帯の１年間の保険税額は</t>
    <rPh sb="14" eb="15">
      <t>ガク</t>
    </rPh>
    <phoneticPr fontId="5"/>
  </si>
  <si>
    <t>円です。</t>
    <rPh sb="0" eb="1">
      <t>エン</t>
    </rPh>
    <phoneticPr fontId="5"/>
  </si>
  <si>
    <t>1期あたりの保険税額は、約</t>
    <rPh sb="1" eb="2">
      <t>キ</t>
    </rPh>
    <phoneticPr fontId="5"/>
  </si>
  <si>
    <t>Q1</t>
    <phoneticPr fontId="5"/>
  </si>
  <si>
    <t>Q2</t>
    <phoneticPr fontId="5"/>
  </si>
  <si>
    <r>
      <t>世帯主が国民健康保険に加入しない場合には、</t>
    </r>
    <r>
      <rPr>
        <b/>
        <sz val="12"/>
        <color indexed="8"/>
        <rFont val="HGS創英角ｺﾞｼｯｸUB"/>
        <family val="3"/>
        <charset val="128"/>
      </rPr>
      <t>「</t>
    </r>
    <r>
      <rPr>
        <b/>
        <sz val="16"/>
        <color indexed="8"/>
        <rFont val="HGS創英角ｺﾞｼｯｸUB"/>
        <family val="3"/>
        <charset val="128"/>
      </rPr>
      <t>世帯主の所得」</t>
    </r>
    <r>
      <rPr>
        <sz val="12"/>
        <color indexed="8"/>
        <rFont val="HGS創英角ｺﾞｼｯｸUB"/>
        <family val="3"/>
        <charset val="128"/>
      </rPr>
      <t>を入力してください。</t>
    </r>
    <rPh sb="0" eb="3">
      <t>セタイヌシ</t>
    </rPh>
    <rPh sb="4" eb="10">
      <t>コクホ</t>
    </rPh>
    <rPh sb="11" eb="13">
      <t>カニュウ</t>
    </rPh>
    <rPh sb="16" eb="18">
      <t>バアイ</t>
    </rPh>
    <rPh sb="22" eb="25">
      <t>セタイヌシ</t>
    </rPh>
    <rPh sb="26" eb="28">
      <t>ショトク</t>
    </rPh>
    <rPh sb="30" eb="32">
      <t>ニュウリョク</t>
    </rPh>
    <phoneticPr fontId="5"/>
  </si>
  <si>
    <t>所得金額</t>
    <rPh sb="0" eb="2">
      <t>ショトク</t>
    </rPh>
    <rPh sb="2" eb="4">
      <t>キンガク</t>
    </rPh>
    <phoneticPr fontId="5"/>
  </si>
  <si>
    <t>軽減基準所得</t>
    <rPh sb="0" eb="2">
      <t>ケイゲン</t>
    </rPh>
    <rPh sb="2" eb="4">
      <t>キジュン</t>
    </rPh>
    <rPh sb="4" eb="6">
      <t>ショトク</t>
    </rPh>
    <phoneticPr fontId="5"/>
  </si>
  <si>
    <t>軽減割合</t>
    <rPh sb="0" eb="2">
      <t>ケイゲン</t>
    </rPh>
    <rPh sb="2" eb="4">
      <t>ワリアイ</t>
    </rPh>
    <phoneticPr fontId="5"/>
  </si>
  <si>
    <t>前年中の世帯総所得金額等（世帯主と国保加入者の所得の合計額）</t>
    <rPh sb="0" eb="2">
      <t>ゼンネン</t>
    </rPh>
    <rPh sb="2" eb="3">
      <t>チュウ</t>
    </rPh>
    <rPh sb="4" eb="6">
      <t>セタイ</t>
    </rPh>
    <rPh sb="6" eb="9">
      <t>ソウショトク</t>
    </rPh>
    <rPh sb="9" eb="11">
      <t>キンガク</t>
    </rPh>
    <rPh sb="11" eb="12">
      <t>トウ</t>
    </rPh>
    <rPh sb="13" eb="16">
      <t>セタイヌシ</t>
    </rPh>
    <rPh sb="17" eb="19">
      <t>コクホ</t>
    </rPh>
    <rPh sb="19" eb="22">
      <t>カニュウシャ</t>
    </rPh>
    <rPh sb="23" eb="25">
      <t>ショトク</t>
    </rPh>
    <rPh sb="26" eb="28">
      <t>ゴウケイ</t>
    </rPh>
    <rPh sb="28" eb="29">
      <t>ガク</t>
    </rPh>
    <phoneticPr fontId="5"/>
  </si>
  <si>
    <t>７割軽減</t>
    <rPh sb="1" eb="2">
      <t>ワ</t>
    </rPh>
    <rPh sb="2" eb="4">
      <t>ケイゲン</t>
    </rPh>
    <phoneticPr fontId="5"/>
  </si>
  <si>
    <t>５割軽減</t>
    <rPh sb="1" eb="2">
      <t>ワリ</t>
    </rPh>
    <rPh sb="2" eb="4">
      <t>ケイゲン</t>
    </rPh>
    <phoneticPr fontId="5"/>
  </si>
  <si>
    <t>２割軽減</t>
    <rPh sb="1" eb="2">
      <t>ワリ</t>
    </rPh>
    <rPh sb="2" eb="4">
      <t>ケイゲン</t>
    </rPh>
    <phoneticPr fontId="5"/>
  </si>
  <si>
    <t>1ヶ月あたりの保険税額は、約</t>
    <phoneticPr fontId="5"/>
  </si>
  <si>
    <t>国民健康保険加入者の「氏名」・「年齢」・「所得金額」を個別に入力してください。</t>
    <rPh sb="0" eb="6">
      <t>コクホ</t>
    </rPh>
    <rPh sb="6" eb="9">
      <t>カニュウシャ</t>
    </rPh>
    <rPh sb="11" eb="13">
      <t>シメイ</t>
    </rPh>
    <rPh sb="16" eb="18">
      <t>ネンレイ</t>
    </rPh>
    <rPh sb="21" eb="23">
      <t>ショトク</t>
    </rPh>
    <rPh sb="23" eb="24">
      <t>キン</t>
    </rPh>
    <rPh sb="24" eb="25">
      <t>ガク</t>
    </rPh>
    <rPh sb="27" eb="29">
      <t>コベツ</t>
    </rPh>
    <rPh sb="30" eb="32">
      <t>ニュウリョク</t>
    </rPh>
    <phoneticPr fontId="5"/>
  </si>
  <si>
    <t>所得金額調整控除</t>
    <rPh sb="0" eb="2">
      <t>ショトク</t>
    </rPh>
    <rPh sb="2" eb="4">
      <t>キンガク</t>
    </rPh>
    <rPh sb="4" eb="6">
      <t>チョウセイ</t>
    </rPh>
    <rPh sb="6" eb="8">
      <t>コウジョ</t>
    </rPh>
    <phoneticPr fontId="1"/>
  </si>
  <si>
    <t>22歳以下の扶養親族を有する</t>
    <rPh sb="2" eb="3">
      <t>サイ</t>
    </rPh>
    <rPh sb="3" eb="5">
      <t>イカ</t>
    </rPh>
    <rPh sb="6" eb="8">
      <t>フヨウ</t>
    </rPh>
    <rPh sb="8" eb="10">
      <t>シンゾク</t>
    </rPh>
    <rPh sb="11" eb="12">
      <t>ユウ</t>
    </rPh>
    <phoneticPr fontId="1"/>
  </si>
  <si>
    <t>特別障害者である同一生計配偶者を有する</t>
    <rPh sb="0" eb="2">
      <t>トクベツ</t>
    </rPh>
    <rPh sb="2" eb="5">
      <t>ショウガイシャ</t>
    </rPh>
    <rPh sb="8" eb="10">
      <t>ドウイツ</t>
    </rPh>
    <rPh sb="10" eb="12">
      <t>セイケイ</t>
    </rPh>
    <rPh sb="12" eb="15">
      <t>ハイグウシャ</t>
    </rPh>
    <rPh sb="16" eb="17">
      <t>ユウ</t>
    </rPh>
    <phoneticPr fontId="1"/>
  </si>
  <si>
    <t>特別障害者である扶養親族を有する</t>
    <rPh sb="0" eb="2">
      <t>トクベツ</t>
    </rPh>
    <rPh sb="2" eb="5">
      <t>ショウガイシャ</t>
    </rPh>
    <rPh sb="8" eb="10">
      <t>フヨウ</t>
    </rPh>
    <rPh sb="10" eb="12">
      <t>シンゾク</t>
    </rPh>
    <rPh sb="13" eb="14">
      <t>ユウ</t>
    </rPh>
    <phoneticPr fontId="1"/>
  </si>
  <si>
    <t>（給与等の収入金額－850万円）×0.1</t>
    <rPh sb="1" eb="3">
      <t>キュウヨ</t>
    </rPh>
    <rPh sb="3" eb="4">
      <t>トウ</t>
    </rPh>
    <rPh sb="5" eb="7">
      <t>シュウニュウ</t>
    </rPh>
    <rPh sb="7" eb="9">
      <t>キンガク</t>
    </rPh>
    <rPh sb="13" eb="15">
      <t>マンエン</t>
    </rPh>
    <phoneticPr fontId="1"/>
  </si>
  <si>
    <t>所得額</t>
    <rPh sb="0" eb="2">
      <t>ショトク</t>
    </rPh>
    <rPh sb="2" eb="3">
      <t>ガク</t>
    </rPh>
    <phoneticPr fontId="1"/>
  </si>
  <si>
    <t>①－600,000円</t>
    <rPh sb="9" eb="10">
      <t>エン</t>
    </rPh>
    <phoneticPr fontId="1"/>
  </si>
  <si>
    <t>①×0.75－275,000円</t>
    <rPh sb="14" eb="15">
      <t>エン</t>
    </rPh>
    <phoneticPr fontId="1"/>
  </si>
  <si>
    <t>①×0.85－685,000円</t>
    <rPh sb="14" eb="15">
      <t>エン</t>
    </rPh>
    <phoneticPr fontId="1"/>
  </si>
  <si>
    <t>①×0.95－1,455,000円</t>
    <rPh sb="16" eb="17">
      <t>エン</t>
    </rPh>
    <phoneticPr fontId="1"/>
  </si>
  <si>
    <t>①－1,955,000円</t>
    <rPh sb="11" eb="12">
      <t>エン</t>
    </rPh>
    <phoneticPr fontId="1"/>
  </si>
  <si>
    <t>所得金額調整控除額計算（年収850万超の場合のみお答えください）</t>
    <rPh sb="0" eb="2">
      <t>ショトク</t>
    </rPh>
    <rPh sb="2" eb="4">
      <t>キンガク</t>
    </rPh>
    <rPh sb="4" eb="6">
      <t>チョウセイ</t>
    </rPh>
    <rPh sb="6" eb="8">
      <t>コウジョ</t>
    </rPh>
    <rPh sb="8" eb="9">
      <t>ガク</t>
    </rPh>
    <rPh sb="9" eb="11">
      <t>ケイサン</t>
    </rPh>
    <rPh sb="12" eb="14">
      <t>ネンシュウ</t>
    </rPh>
    <rPh sb="17" eb="18">
      <t>マン</t>
    </rPh>
    <rPh sb="18" eb="19">
      <t>チョウ</t>
    </rPh>
    <rPh sb="20" eb="22">
      <t>バアイ</t>
    </rPh>
    <rPh sb="25" eb="26">
      <t>コタ</t>
    </rPh>
    <phoneticPr fontId="1"/>
  </si>
  <si>
    <t>自分が特別障害者に該当する</t>
    <rPh sb="0" eb="2">
      <t>ジブン</t>
    </rPh>
    <rPh sb="3" eb="5">
      <t>トクベツ</t>
    </rPh>
    <rPh sb="5" eb="8">
      <t>ショウガイシャ</t>
    </rPh>
    <rPh sb="9" eb="11">
      <t>ガイトウ</t>
    </rPh>
    <phoneticPr fontId="1"/>
  </si>
  <si>
    <t>給与等の所得金額(調整控除反映後）</t>
    <rPh sb="0" eb="2">
      <t>キュウヨ</t>
    </rPh>
    <rPh sb="2" eb="3">
      <t>トウ</t>
    </rPh>
    <rPh sb="4" eb="6">
      <t>ショトク</t>
    </rPh>
    <rPh sb="6" eb="8">
      <t>キンガク</t>
    </rPh>
    <rPh sb="9" eb="11">
      <t>チョウセイ</t>
    </rPh>
    <rPh sb="11" eb="13">
      <t>コウジョ</t>
    </rPh>
    <rPh sb="13" eb="15">
      <t>ハンエイ</t>
    </rPh>
    <rPh sb="15" eb="16">
      <t>ゴ</t>
    </rPh>
    <phoneticPr fontId="1"/>
  </si>
  <si>
    <t>65歳未満の方の計算</t>
    <rPh sb="2" eb="5">
      <t>サイミマン</t>
    </rPh>
    <rPh sb="6" eb="7">
      <t>カタ</t>
    </rPh>
    <rPh sb="8" eb="10">
      <t>ケイサン</t>
    </rPh>
    <phoneticPr fontId="1"/>
  </si>
  <si>
    <t>①－500,000円</t>
    <rPh sb="9" eb="10">
      <t>エン</t>
    </rPh>
    <phoneticPr fontId="1"/>
  </si>
  <si>
    <t>①×0.75－175,000円</t>
    <rPh sb="14" eb="15">
      <t>エン</t>
    </rPh>
    <phoneticPr fontId="1"/>
  </si>
  <si>
    <t>①×0.85－585,000円</t>
    <rPh sb="14" eb="15">
      <t>エン</t>
    </rPh>
    <phoneticPr fontId="1"/>
  </si>
  <si>
    <t>①×0.95－1,355,000円</t>
    <rPh sb="16" eb="17">
      <t>エン</t>
    </rPh>
    <phoneticPr fontId="1"/>
  </si>
  <si>
    <t>①－1,855,000円</t>
    <rPh sb="11" eb="12">
      <t>エン</t>
    </rPh>
    <phoneticPr fontId="1"/>
  </si>
  <si>
    <t>①－1,000,000円</t>
    <rPh sb="11" eb="12">
      <t>エン</t>
    </rPh>
    <phoneticPr fontId="1"/>
  </si>
  <si>
    <t>①－400,000円</t>
    <rPh sb="9" eb="10">
      <t>エン</t>
    </rPh>
    <phoneticPr fontId="1"/>
  </si>
  <si>
    <t>①×0.75－75,000円</t>
    <rPh sb="13" eb="14">
      <t>エン</t>
    </rPh>
    <phoneticPr fontId="1"/>
  </si>
  <si>
    <t>①×0.85－485,000円</t>
    <rPh sb="14" eb="15">
      <t>エン</t>
    </rPh>
    <phoneticPr fontId="1"/>
  </si>
  <si>
    <t>①×0.95－1,255,000円</t>
    <rPh sb="16" eb="17">
      <t>エン</t>
    </rPh>
    <phoneticPr fontId="1"/>
  </si>
  <si>
    <t>①－1,755,000円</t>
    <rPh sb="11" eb="12">
      <t>エン</t>
    </rPh>
    <phoneticPr fontId="1"/>
  </si>
  <si>
    <t>①－900,000円</t>
    <rPh sb="9" eb="10">
      <t>エン</t>
    </rPh>
    <phoneticPr fontId="1"/>
  </si>
  <si>
    <t>公的年金以外の合計所得が1,000万以下の場合</t>
    <rPh sb="0" eb="2">
      <t>コウテキ</t>
    </rPh>
    <rPh sb="2" eb="4">
      <t>ネンキン</t>
    </rPh>
    <rPh sb="4" eb="6">
      <t>イガイ</t>
    </rPh>
    <rPh sb="7" eb="9">
      <t>ゴウケイ</t>
    </rPh>
    <rPh sb="9" eb="11">
      <t>ショトク</t>
    </rPh>
    <rPh sb="17" eb="18">
      <t>マン</t>
    </rPh>
    <rPh sb="18" eb="20">
      <t>イカ</t>
    </rPh>
    <rPh sb="21" eb="23">
      <t>バアイ</t>
    </rPh>
    <phoneticPr fontId="1"/>
  </si>
  <si>
    <t>1,000万～2,000万円の場合</t>
    <rPh sb="5" eb="6">
      <t>マン</t>
    </rPh>
    <rPh sb="12" eb="13">
      <t>マン</t>
    </rPh>
    <rPh sb="13" eb="14">
      <t>エン</t>
    </rPh>
    <rPh sb="15" eb="17">
      <t>バアイ</t>
    </rPh>
    <phoneticPr fontId="1"/>
  </si>
  <si>
    <t>2,001万円～</t>
    <rPh sb="5" eb="6">
      <t>マン</t>
    </rPh>
    <rPh sb="6" eb="7">
      <t>エン</t>
    </rPh>
    <phoneticPr fontId="1"/>
  </si>
  <si>
    <t>①－1,100,000円</t>
    <rPh sb="3" eb="12">
      <t>１０００００エン</t>
    </rPh>
    <phoneticPr fontId="1"/>
  </si>
  <si>
    <t>円</t>
    <phoneticPr fontId="1"/>
  </si>
  <si>
    <t>給与所得</t>
    <rPh sb="0" eb="2">
      <t>キュウヨ</t>
    </rPh>
    <rPh sb="2" eb="4">
      <t>ショトク</t>
    </rPh>
    <phoneticPr fontId="5"/>
  </si>
  <si>
    <t>年金所得</t>
    <rPh sb="0" eb="2">
      <t>ネンキン</t>
    </rPh>
    <rPh sb="2" eb="4">
      <t>ショトク</t>
    </rPh>
    <phoneticPr fontId="5"/>
  </si>
  <si>
    <t>その他所得金額</t>
    <rPh sb="2" eb="3">
      <t>タ</t>
    </rPh>
    <rPh sb="3" eb="5">
      <t>ショトク</t>
    </rPh>
    <rPh sb="5" eb="6">
      <t>キン</t>
    </rPh>
    <rPh sb="6" eb="7">
      <t>ガク</t>
    </rPh>
    <phoneticPr fontId="1"/>
  </si>
  <si>
    <t>合計所得金額</t>
    <rPh sb="0" eb="2">
      <t>ゴウケイ</t>
    </rPh>
    <rPh sb="2" eb="4">
      <t>ショトク</t>
    </rPh>
    <rPh sb="4" eb="6">
      <t>キンガク</t>
    </rPh>
    <phoneticPr fontId="1"/>
  </si>
  <si>
    <t>人数</t>
    <rPh sb="0" eb="2">
      <t>ニンズウ</t>
    </rPh>
    <phoneticPr fontId="5"/>
  </si>
  <si>
    <r>
      <rPr>
        <b/>
        <sz val="12"/>
        <color indexed="8"/>
        <rFont val="HGS創英角ｺﾞｼｯｸUB"/>
        <family val="3"/>
        <charset val="128"/>
      </rPr>
      <t>「</t>
    </r>
    <r>
      <rPr>
        <b/>
        <sz val="16"/>
        <color indexed="8"/>
        <rFont val="HGS創英角ｺﾞｼｯｸUB"/>
        <family val="3"/>
        <charset val="128"/>
      </rPr>
      <t>給与所得者・年金所得者の人数]</t>
    </r>
    <r>
      <rPr>
        <sz val="12"/>
        <color indexed="8"/>
        <rFont val="HGS創英角ｺﾞｼｯｸUB"/>
        <family val="3"/>
        <charset val="128"/>
      </rPr>
      <t>（擬制世帯主を含む）</t>
    </r>
    <rPh sb="1" eb="3">
      <t>キュウヨ</t>
    </rPh>
    <rPh sb="3" eb="5">
      <t>ショトク</t>
    </rPh>
    <rPh sb="5" eb="6">
      <t>シャ</t>
    </rPh>
    <rPh sb="7" eb="9">
      <t>ネンキン</t>
    </rPh>
    <rPh sb="9" eb="11">
      <t>ショトク</t>
    </rPh>
    <rPh sb="11" eb="12">
      <t>シャ</t>
    </rPh>
    <rPh sb="13" eb="15">
      <t>ニンズウ</t>
    </rPh>
    <rPh sb="17" eb="19">
      <t>ギセイ</t>
    </rPh>
    <rPh sb="19" eb="22">
      <t>セタイヌシ</t>
    </rPh>
    <rPh sb="23" eb="24">
      <t>フク</t>
    </rPh>
    <phoneticPr fontId="5"/>
  </si>
  <si>
    <t>その他の合計所得金額</t>
    <rPh sb="2" eb="3">
      <t>タ</t>
    </rPh>
    <rPh sb="4" eb="6">
      <t>ゴウケイ</t>
    </rPh>
    <rPh sb="6" eb="8">
      <t>ショトク</t>
    </rPh>
    <rPh sb="8" eb="10">
      <t>キンガク</t>
    </rPh>
    <phoneticPr fontId="1"/>
  </si>
  <si>
    <t>調整控除</t>
    <rPh sb="0" eb="2">
      <t>チョウセイ</t>
    </rPh>
    <rPh sb="2" eb="4">
      <t>コウジョ</t>
    </rPh>
    <phoneticPr fontId="1"/>
  </si>
  <si>
    <t>※特定同一所属者とは、同一世帯で、後期高齢者医療制度へ移行したことにより、国保の資格を喪失した方。</t>
    <rPh sb="1" eb="3">
      <t>トクテイ</t>
    </rPh>
    <rPh sb="3" eb="5">
      <t>ドウイツ</t>
    </rPh>
    <rPh sb="5" eb="7">
      <t>ショゾク</t>
    </rPh>
    <rPh sb="7" eb="8">
      <t>シャ</t>
    </rPh>
    <rPh sb="11" eb="13">
      <t>ドウイツ</t>
    </rPh>
    <rPh sb="13" eb="15">
      <t>セタイ</t>
    </rPh>
    <rPh sb="17" eb="19">
      <t>コウキ</t>
    </rPh>
    <rPh sb="19" eb="22">
      <t>コウレイシャ</t>
    </rPh>
    <rPh sb="22" eb="24">
      <t>イリョウ</t>
    </rPh>
    <rPh sb="24" eb="26">
      <t>セイド</t>
    </rPh>
    <rPh sb="27" eb="29">
      <t>イコウ</t>
    </rPh>
    <rPh sb="37" eb="39">
      <t>コクホ</t>
    </rPh>
    <rPh sb="40" eb="42">
      <t>シカク</t>
    </rPh>
    <phoneticPr fontId="5"/>
  </si>
  <si>
    <t>雑所得金額</t>
    <rPh sb="0" eb="3">
      <t>ザツショトク</t>
    </rPh>
    <rPh sb="3" eb="5">
      <t>キンガク</t>
    </rPh>
    <phoneticPr fontId="1"/>
  </si>
  <si>
    <t>なし</t>
    <phoneticPr fontId="1"/>
  </si>
  <si>
    <t>年金控除額</t>
    <rPh sb="0" eb="2">
      <t>ネンキン</t>
    </rPh>
    <rPh sb="2" eb="4">
      <t>コウジョ</t>
    </rPh>
    <rPh sb="4" eb="5">
      <t>ガク</t>
    </rPh>
    <phoneticPr fontId="1"/>
  </si>
  <si>
    <t>非該当</t>
    <phoneticPr fontId="1"/>
  </si>
  <si>
    <t>※給与所得者とは一定の給与所得者と公的年金等の支給を受ける方。</t>
    <rPh sb="1" eb="3">
      <t>キュウヨ</t>
    </rPh>
    <rPh sb="3" eb="5">
      <t>ショトク</t>
    </rPh>
    <rPh sb="5" eb="6">
      <t>シャ</t>
    </rPh>
    <rPh sb="8" eb="10">
      <t>イッテイ</t>
    </rPh>
    <rPh sb="11" eb="13">
      <t>キュウヨ</t>
    </rPh>
    <rPh sb="13" eb="15">
      <t>ショトク</t>
    </rPh>
    <rPh sb="15" eb="16">
      <t>シャ</t>
    </rPh>
    <rPh sb="17" eb="19">
      <t>コウテキ</t>
    </rPh>
    <rPh sb="19" eb="21">
      <t>ネンキン</t>
    </rPh>
    <rPh sb="21" eb="22">
      <t>トウ</t>
    </rPh>
    <rPh sb="23" eb="25">
      <t>シキュウ</t>
    </rPh>
    <rPh sb="26" eb="27">
      <t>ウ</t>
    </rPh>
    <rPh sb="29" eb="30">
      <t>カタ</t>
    </rPh>
    <phoneticPr fontId="5"/>
  </si>
  <si>
    <t>こども均等割軽減</t>
    <rPh sb="3" eb="6">
      <t>キントウワ</t>
    </rPh>
    <rPh sb="6" eb="8">
      <t>ケイゲン</t>
    </rPh>
    <phoneticPr fontId="1"/>
  </si>
  <si>
    <t>うち未就学児</t>
    <rPh sb="2" eb="6">
      <t>ミシュウガクジ</t>
    </rPh>
    <phoneticPr fontId="1"/>
  </si>
  <si>
    <t>あくまで試算ですので、加入後の決定通知書で金額をご確認ください。</t>
    <rPh sb="4" eb="6">
      <t>シサン</t>
    </rPh>
    <rPh sb="11" eb="14">
      <t>カニュウゴ</t>
    </rPh>
    <rPh sb="15" eb="17">
      <t>ケッテイ</t>
    </rPh>
    <rPh sb="17" eb="20">
      <t>ツウチショ</t>
    </rPh>
    <rPh sb="21" eb="23">
      <t>キンガク</t>
    </rPh>
    <rPh sb="25" eb="27">
      <t>カクニン</t>
    </rPh>
    <phoneticPr fontId="1"/>
  </si>
  <si>
    <t>また、保険税額は、6月から翌年1月までの8期で納めていただきますので、</t>
    <phoneticPr fontId="5"/>
  </si>
  <si>
    <t>年度の途中で加入する場合は、加入する月から３月までの月数を乗じてください。</t>
    <rPh sb="0" eb="2">
      <t>ネンド</t>
    </rPh>
    <rPh sb="3" eb="5">
      <t>トチュウ</t>
    </rPh>
    <rPh sb="6" eb="8">
      <t>カニュウ</t>
    </rPh>
    <rPh sb="10" eb="12">
      <t>バアイ</t>
    </rPh>
    <rPh sb="14" eb="16">
      <t>カニュウ</t>
    </rPh>
    <rPh sb="18" eb="19">
      <t>ツキ</t>
    </rPh>
    <rPh sb="22" eb="23">
      <t>ガツ</t>
    </rPh>
    <rPh sb="26" eb="28">
      <t>ゲッスウ</t>
    </rPh>
    <rPh sb="29" eb="30">
      <t>ジョウ</t>
    </rPh>
    <phoneticPr fontId="1"/>
  </si>
  <si>
    <t>令和8年度国民健康税試算表</t>
    <rPh sb="0" eb="2">
      <t>レイワ</t>
    </rPh>
    <rPh sb="3" eb="4">
      <t>ド</t>
    </rPh>
    <rPh sb="5" eb="7">
      <t>コクミン</t>
    </rPh>
    <rPh sb="6" eb="8">
      <t>ケンコウ</t>
    </rPh>
    <rPh sb="8" eb="9">
      <t>ゼイ</t>
    </rPh>
    <rPh sb="9" eb="12">
      <t>シサンヒョウ</t>
    </rPh>
    <phoneticPr fontId="5"/>
  </si>
  <si>
    <t>子ども分</t>
    <rPh sb="0" eb="1">
      <t>コ</t>
    </rPh>
    <rPh sb="3" eb="4">
      <t>ブン</t>
    </rPh>
    <phoneticPr fontId="1"/>
  </si>
  <si>
    <t>①－650,000円</t>
    <rPh sb="9" eb="10">
      <t>エン</t>
    </rPh>
    <phoneticPr fontId="1"/>
  </si>
  <si>
    <t>円</t>
  </si>
  <si>
    <t>①÷4（千円未満の端数切捨て）×2.8－80,000円</t>
    <phoneticPr fontId="1"/>
  </si>
  <si>
    <t>①÷4（千円未満の端数切捨て）×3.2－440,000円</t>
    <phoneticPr fontId="1"/>
  </si>
  <si>
    <t>①×0.9－1,100,000円</t>
    <phoneticPr fontId="1"/>
  </si>
  <si>
    <t>①－1,950,000円</t>
    <phoneticPr fontId="1"/>
  </si>
  <si>
    <t>なし</t>
  </si>
  <si>
    <t>1000万円以下</t>
  </si>
  <si>
    <t>子ども分</t>
    <rPh sb="0" eb="1">
      <t>コ</t>
    </rPh>
    <rPh sb="3" eb="4">
      <t>ブン</t>
    </rPh>
    <phoneticPr fontId="1"/>
  </si>
  <si>
    <t>子ども分については18歳以上の保険者数</t>
    <rPh sb="0" eb="1">
      <t>コ</t>
    </rPh>
    <rPh sb="3" eb="4">
      <t>ブン</t>
    </rPh>
    <rPh sb="11" eb="14">
      <t>サイイジョウ</t>
    </rPh>
    <rPh sb="15" eb="19">
      <t>ホケンシャスウ</t>
    </rPh>
    <phoneticPr fontId="1"/>
  </si>
  <si>
    <t>支援金分</t>
    <rPh sb="0" eb="3">
      <t>シエンキン</t>
    </rPh>
    <rPh sb="3" eb="4">
      <t>ブン</t>
    </rPh>
    <phoneticPr fontId="5"/>
  </si>
  <si>
    <t>所得割</t>
    <rPh sb="0" eb="2">
      <t>ショトク</t>
    </rPh>
    <rPh sb="2" eb="3">
      <t>ワリ</t>
    </rPh>
    <phoneticPr fontId="1"/>
  </si>
  <si>
    <t>均等割</t>
    <rPh sb="0" eb="3">
      <t>キントウワリ</t>
    </rPh>
    <phoneticPr fontId="1"/>
  </si>
  <si>
    <t>平等割</t>
    <rPh sb="0" eb="2">
      <t>ビョウドウ</t>
    </rPh>
    <rPh sb="2" eb="3">
      <t>ワリ</t>
    </rPh>
    <phoneticPr fontId="1"/>
  </si>
  <si>
    <t>給与収入の場合</t>
    <rPh sb="0" eb="2">
      <t>キュウヨ</t>
    </rPh>
    <rPh sb="2" eb="4">
      <t>シュウニュウ</t>
    </rPh>
    <rPh sb="5" eb="7">
      <t>バアイ</t>
    </rPh>
    <phoneticPr fontId="1"/>
  </si>
  <si>
    <t>【①所得割】</t>
    <rPh sb="2" eb="4">
      <t>ショトク</t>
    </rPh>
    <rPh sb="4" eb="5">
      <t>ワリ</t>
    </rPh>
    <phoneticPr fontId="1"/>
  </si>
  <si>
    <t>【②均等割】</t>
    <rPh sb="2" eb="5">
      <t>キントウワ</t>
    </rPh>
    <phoneticPr fontId="1"/>
  </si>
  <si>
    <t>収入金額</t>
    <rPh sb="0" eb="2">
      <t>シュウニュウ</t>
    </rPh>
    <rPh sb="2" eb="3">
      <t>キン</t>
    </rPh>
    <rPh sb="3" eb="4">
      <t>ガク</t>
    </rPh>
    <phoneticPr fontId="1"/>
  </si>
  <si>
    <t>所得金額</t>
    <rPh sb="0" eb="2">
      <t>ショトク</t>
    </rPh>
    <rPh sb="2" eb="3">
      <t>キン</t>
    </rPh>
    <rPh sb="3" eb="4">
      <t>ガク</t>
    </rPh>
    <phoneticPr fontId="1"/>
  </si>
  <si>
    <t>基準総所得金額</t>
    <rPh sb="0" eb="2">
      <t>キジュン</t>
    </rPh>
    <rPh sb="2" eb="5">
      <t>ソウショトク</t>
    </rPh>
    <rPh sb="5" eb="7">
      <t>キンガク</t>
    </rPh>
    <phoneticPr fontId="1"/>
  </si>
  <si>
    <t>保　険　税　額</t>
    <rPh sb="0" eb="1">
      <t>ホ</t>
    </rPh>
    <rPh sb="2" eb="3">
      <t>ケン</t>
    </rPh>
    <rPh sb="4" eb="5">
      <t>ゼイ</t>
    </rPh>
    <rPh sb="6" eb="7">
      <t>ガク</t>
    </rPh>
    <phoneticPr fontId="1"/>
  </si>
  <si>
    <t>被保険者数</t>
    <rPh sb="0" eb="4">
      <t>ヒホケンシャ</t>
    </rPh>
    <rPh sb="4" eb="5">
      <t>スウ</t>
    </rPh>
    <phoneticPr fontId="1"/>
  </si>
  <si>
    <t>医療分</t>
    <rPh sb="0" eb="2">
      <t>イリョウ</t>
    </rPh>
    <rPh sb="2" eb="3">
      <t>ブン</t>
    </rPh>
    <phoneticPr fontId="1"/>
  </si>
  <si>
    <t>支援金分</t>
    <rPh sb="0" eb="3">
      <t>シエンキン</t>
    </rPh>
    <rPh sb="3" eb="4">
      <t>ブン</t>
    </rPh>
    <phoneticPr fontId="1"/>
  </si>
  <si>
    <r>
      <t xml:space="preserve">介護分
</t>
    </r>
    <r>
      <rPr>
        <sz val="11"/>
        <color theme="1"/>
        <rFont val="メイリオ"/>
        <family val="3"/>
        <charset val="128"/>
      </rPr>
      <t>（40～64歳）</t>
    </r>
    <rPh sb="0" eb="2">
      <t>カイゴ</t>
    </rPh>
    <rPh sb="2" eb="3">
      <t>ブン</t>
    </rPh>
    <rPh sb="10" eb="11">
      <t>サイ</t>
    </rPh>
    <phoneticPr fontId="1"/>
  </si>
  <si>
    <t>合計</t>
    <rPh sb="0" eb="2">
      <t>ゴウケイ</t>
    </rPh>
    <phoneticPr fontId="1"/>
  </si>
  <si>
    <t>７割軽減</t>
    <rPh sb="1" eb="2">
      <t>ワ</t>
    </rPh>
    <rPh sb="2" eb="4">
      <t>ケイゲン</t>
    </rPh>
    <phoneticPr fontId="1"/>
  </si>
  <si>
    <t>５割軽減</t>
    <rPh sb="1" eb="2">
      <t>ワリ</t>
    </rPh>
    <rPh sb="2" eb="4">
      <t>ケイゲン</t>
    </rPh>
    <phoneticPr fontId="1"/>
  </si>
  <si>
    <t>２割軽減</t>
    <rPh sb="1" eb="2">
      <t>ワリ</t>
    </rPh>
    <rPh sb="2" eb="4">
      <t>ケイゲン</t>
    </rPh>
    <phoneticPr fontId="1"/>
  </si>
  <si>
    <t>【③平等割】</t>
    <rPh sb="2" eb="4">
      <t>ビョウドウ</t>
    </rPh>
    <rPh sb="4" eb="5">
      <t>ワリ</t>
    </rPh>
    <phoneticPr fontId="1"/>
  </si>
  <si>
    <t>1世帯あたり</t>
    <rPh sb="1" eb="3">
      <t>セタイ</t>
    </rPh>
    <phoneticPr fontId="1"/>
  </si>
  <si>
    <t>R8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</si>
</sst>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 &quot;%&quot;"/>
    <numFmt numFmtId="178" formatCode="#,##0\ &quot;円&quot;"/>
    <numFmt numFmtId="179" formatCode="#,##0_);[Red]\(#,##0\)"/>
    <numFmt numFmtId="180" formatCode="#,##0_ &quot;円＋10万円×（給与所得者等の数ー1）以下&quot;"/>
    <numFmt numFmtId="181" formatCode="&quot;430,000円+（&quot;#,##0_ &quot;円×被保険者数と特定同一世帯所属者数の合計）＋10万円×（給与所得者等の数ー1）以下&quot;"/>
    <numFmt numFmtId="182" formatCode="&quot;¥&quot;#,##0_);[Red]\(&quot;¥&quot;#,##0\)"/>
    <numFmt numFmtId="183" formatCode="0.00\ &quot;%&quot;"/>
    <numFmt numFmtId="184" formatCode="0.0%"/>
  </numFmts>
  <fonts count="31" x14ac:knownFonts="1">
    <font>
      <sz val="11"/>
      <color theme="1"/>
      <name val="ＭＳ Ｐゴシック"/>
      <family val="2"/>
      <charset val="128"/>
      <scheme val="minor"/>
    </font>
    <font>
      <sz val="6"/>
      <name val="ＭＳ Ｐゴシック"/>
      <family val="2"/>
      <charset val="128"/>
      <scheme val="minor"/>
    </font>
    <font>
      <sz val="12"/>
      <color theme="1"/>
      <name val="メイリオ"/>
      <family val="3"/>
      <charset val="128"/>
    </font>
    <font>
      <b/>
      <sz val="16"/>
      <color indexed="81"/>
      <name val="ＭＳ Ｐゴシック"/>
      <family val="3"/>
      <charset val="128"/>
    </font>
    <font>
      <sz val="11"/>
      <color theme="1"/>
      <name val="ＭＳ Ｐゴシック"/>
      <family val="3"/>
      <charset val="128"/>
      <scheme val="minor"/>
    </font>
    <font>
      <sz val="6"/>
      <name val="ＭＳ Ｐゴシック"/>
      <family val="3"/>
      <charset val="128"/>
    </font>
    <font>
      <sz val="11"/>
      <color theme="1"/>
      <name val="メイリオ"/>
      <family val="3"/>
      <charset val="128"/>
    </font>
    <font>
      <sz val="12"/>
      <color theme="1"/>
      <name val="HGS創英角ｺﾞｼｯｸUB"/>
      <family val="3"/>
      <charset val="128"/>
    </font>
    <font>
      <b/>
      <sz val="12"/>
      <color rgb="FFFF0000"/>
      <name val="メイリオ"/>
      <family val="3"/>
      <charset val="128"/>
    </font>
    <font>
      <b/>
      <sz val="12"/>
      <color indexed="8"/>
      <name val="HGS創英角ｺﾞｼｯｸUB"/>
      <family val="3"/>
      <charset val="128"/>
    </font>
    <font>
      <b/>
      <sz val="16"/>
      <color indexed="8"/>
      <name val="HGS創英角ｺﾞｼｯｸUB"/>
      <family val="3"/>
      <charset val="128"/>
    </font>
    <font>
      <sz val="12"/>
      <color indexed="8"/>
      <name val="HGS創英角ｺﾞｼｯｸUB"/>
      <family val="3"/>
      <charset val="128"/>
    </font>
    <font>
      <b/>
      <sz val="18"/>
      <color rgb="FFFF0000"/>
      <name val="メイリオ"/>
      <family val="3"/>
      <charset val="128"/>
    </font>
    <font>
      <sz val="12"/>
      <color rgb="FFFF0000"/>
      <name val="メイリオ"/>
      <family val="3"/>
      <charset val="128"/>
    </font>
    <font>
      <b/>
      <sz val="12"/>
      <color theme="1"/>
      <name val="メイリオ"/>
      <family val="3"/>
      <charset val="128"/>
    </font>
    <font>
      <sz val="11"/>
      <color theme="1"/>
      <name val="ＭＳ Ｐゴシック"/>
      <family val="2"/>
      <charset val="128"/>
      <scheme val="minor"/>
    </font>
    <font>
      <b/>
      <sz val="16"/>
      <color theme="1"/>
      <name val="メイリオ"/>
      <family val="3"/>
      <charset val="128"/>
    </font>
    <font>
      <sz val="16"/>
      <color theme="1"/>
      <name val="メイリオ"/>
      <family val="3"/>
      <charset val="128"/>
    </font>
    <font>
      <b/>
      <sz val="18"/>
      <color theme="1"/>
      <name val="メイリオ"/>
      <family val="3"/>
      <charset val="128"/>
    </font>
    <font>
      <b/>
      <sz val="20"/>
      <color theme="1"/>
      <name val="メイリオ"/>
      <family val="3"/>
      <charset val="128"/>
    </font>
    <font>
      <sz val="12"/>
      <color theme="0"/>
      <name val="メイリオ"/>
      <family val="3"/>
      <charset val="128"/>
    </font>
    <font>
      <sz val="12"/>
      <name val="メイリオ"/>
      <family val="3"/>
      <charset val="128"/>
    </font>
    <font>
      <b/>
      <sz val="12"/>
      <color theme="0"/>
      <name val="メイリオ"/>
      <family val="3"/>
      <charset val="128"/>
    </font>
    <font>
      <sz val="10"/>
      <color theme="1"/>
      <name val="メイリオ"/>
      <family val="3"/>
      <charset val="128"/>
    </font>
    <font>
      <sz val="9"/>
      <color indexed="81"/>
      <name val="メイリオ"/>
      <family val="3"/>
      <charset val="128"/>
    </font>
    <font>
      <b/>
      <u/>
      <sz val="9"/>
      <color indexed="81"/>
      <name val="メイリオ"/>
      <family val="3"/>
      <charset val="128"/>
    </font>
    <font>
      <b/>
      <u/>
      <sz val="16"/>
      <color theme="1"/>
      <name val="メイリオ"/>
      <family val="3"/>
      <charset val="128"/>
    </font>
    <font>
      <b/>
      <sz val="22"/>
      <color theme="1"/>
      <name val="メイリオ"/>
      <family val="3"/>
      <charset val="128"/>
    </font>
    <font>
      <sz val="11"/>
      <color theme="4" tint="0.79998168889431442"/>
      <name val="メイリオ"/>
      <family val="3"/>
      <charset val="128"/>
    </font>
    <font>
      <sz val="14"/>
      <color theme="1"/>
      <name val="メイリオ"/>
      <family val="3"/>
      <charset val="128"/>
    </font>
    <font>
      <b/>
      <sz val="14"/>
      <color theme="1"/>
      <name val="メイリオ"/>
      <family val="3"/>
      <charset val="128"/>
    </font>
  </fonts>
  <fills count="12">
    <fill>
      <patternFill patternType="none"/>
    </fill>
    <fill>
      <patternFill patternType="gray125"/>
    </fill>
    <fill>
      <patternFill patternType="solid">
        <fgColor rgb="FF92D050"/>
        <bgColor indexed="64"/>
      </patternFill>
    </fill>
    <fill>
      <patternFill patternType="solid">
        <fgColor rgb="FFFFFFCC"/>
        <bgColor indexed="64"/>
      </patternFill>
    </fill>
    <fill>
      <patternFill patternType="solid">
        <fgColor theme="7"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FF0000"/>
        <bgColor indexed="64"/>
      </patternFill>
    </fill>
    <fill>
      <patternFill patternType="solid">
        <fgColor theme="7" tint="0.59999389629810485"/>
        <bgColor indexed="64"/>
      </patternFill>
    </fill>
    <fill>
      <patternFill patternType="solid">
        <fgColor rgb="FFE3FFC9"/>
        <bgColor indexed="64"/>
      </patternFill>
    </fill>
    <fill>
      <patternFill patternType="solid">
        <fgColor theme="4" tint="0.79998168889431442"/>
        <bgColor indexed="64"/>
      </patternFill>
    </fill>
  </fills>
  <borders count="5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s>
  <cellStyleXfs count="5">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5" fillId="0" borderId="0" applyFont="0" applyFill="0" applyBorder="0" applyAlignment="0" applyProtection="0">
      <alignment vertical="center"/>
    </xf>
    <xf numFmtId="9" fontId="15" fillId="0" borderId="0" applyFont="0" applyFill="0" applyBorder="0" applyAlignment="0" applyProtection="0">
      <alignment vertical="center"/>
    </xf>
  </cellStyleXfs>
  <cellXfs count="247">
    <xf numFmtId="0" fontId="0" fillId="0" borderId="0" xfId="0">
      <alignment vertical="center"/>
    </xf>
    <xf numFmtId="176" fontId="2" fillId="3" borderId="1" xfId="0" applyNumberFormat="1" applyFont="1" applyFill="1" applyBorder="1" applyProtection="1">
      <alignment vertical="center"/>
      <protection locked="0"/>
    </xf>
    <xf numFmtId="176" fontId="2" fillId="5" borderId="8" xfId="0" applyNumberFormat="1" applyFont="1" applyFill="1" applyBorder="1" applyProtection="1">
      <alignment vertical="center"/>
    </xf>
    <xf numFmtId="176" fontId="2" fillId="5" borderId="7" xfId="0" applyNumberFormat="1" applyFont="1" applyFill="1" applyBorder="1" applyProtection="1">
      <alignment vertical="center"/>
    </xf>
    <xf numFmtId="176" fontId="2" fillId="5" borderId="12" xfId="0" applyNumberFormat="1" applyFont="1" applyFill="1" applyBorder="1" applyProtection="1">
      <alignment vertical="center"/>
    </xf>
    <xf numFmtId="0" fontId="2" fillId="5" borderId="0" xfId="0" applyFont="1" applyFill="1" applyProtection="1">
      <alignment vertical="center"/>
    </xf>
    <xf numFmtId="0" fontId="2" fillId="5" borderId="2" xfId="0" applyFont="1" applyFill="1" applyBorder="1" applyProtection="1">
      <alignment vertical="center"/>
    </xf>
    <xf numFmtId="0" fontId="2" fillId="5" borderId="0" xfId="0" applyFont="1" applyFill="1" applyBorder="1" applyAlignment="1" applyProtection="1">
      <alignment horizontal="center" vertical="center"/>
    </xf>
    <xf numFmtId="176" fontId="2" fillId="5" borderId="0" xfId="0" applyNumberFormat="1" applyFont="1" applyFill="1" applyBorder="1" applyProtection="1">
      <alignment vertical="center"/>
    </xf>
    <xf numFmtId="0" fontId="2" fillId="5" borderId="4" xfId="0" applyFont="1" applyFill="1" applyBorder="1" applyProtection="1">
      <alignment vertical="center"/>
    </xf>
    <xf numFmtId="0" fontId="2" fillId="5" borderId="15" xfId="0" applyFont="1" applyFill="1" applyBorder="1" applyAlignment="1" applyProtection="1">
      <alignment horizontal="right" vertical="center"/>
    </xf>
    <xf numFmtId="0" fontId="2" fillId="5" borderId="4" xfId="0" applyFont="1" applyFill="1" applyBorder="1" applyAlignment="1" applyProtection="1">
      <alignment horizontal="center" vertical="center"/>
    </xf>
    <xf numFmtId="176" fontId="2" fillId="5" borderId="4" xfId="0" applyNumberFormat="1" applyFont="1" applyFill="1" applyBorder="1" applyProtection="1">
      <alignment vertical="center"/>
    </xf>
    <xf numFmtId="0" fontId="2" fillId="5" borderId="0" xfId="0" applyFont="1" applyFill="1" applyBorder="1" applyProtection="1">
      <alignment vertical="center"/>
    </xf>
    <xf numFmtId="0" fontId="2" fillId="5" borderId="13" xfId="0" applyFont="1" applyFill="1" applyBorder="1" applyProtection="1">
      <alignment vertical="center"/>
    </xf>
    <xf numFmtId="0" fontId="2" fillId="5" borderId="13" xfId="0" applyFont="1" applyFill="1" applyBorder="1" applyAlignment="1" applyProtection="1">
      <alignment horizontal="center" vertical="center"/>
    </xf>
    <xf numFmtId="0" fontId="2" fillId="2" borderId="14" xfId="0" applyFont="1" applyFill="1" applyBorder="1" applyAlignment="1" applyProtection="1">
      <alignment horizontal="center" vertical="center"/>
    </xf>
    <xf numFmtId="0" fontId="2" fillId="6" borderId="0" xfId="0" applyFont="1" applyFill="1" applyProtection="1">
      <alignment vertical="center"/>
    </xf>
    <xf numFmtId="0" fontId="2" fillId="6" borderId="2" xfId="0" applyFont="1" applyFill="1" applyBorder="1" applyProtection="1">
      <alignment vertical="center"/>
    </xf>
    <xf numFmtId="176" fontId="2" fillId="6" borderId="7" xfId="0" applyNumberFormat="1" applyFont="1" applyFill="1" applyBorder="1" applyProtection="1">
      <alignment vertical="center"/>
    </xf>
    <xf numFmtId="0" fontId="2" fillId="6" borderId="0" xfId="0" applyFont="1" applyFill="1" applyBorder="1" applyAlignment="1" applyProtection="1">
      <alignment horizontal="center" vertical="center"/>
    </xf>
    <xf numFmtId="176" fontId="2" fillId="6" borderId="0" xfId="0" applyNumberFormat="1" applyFont="1" applyFill="1" applyBorder="1" applyProtection="1">
      <alignment vertical="center"/>
    </xf>
    <xf numFmtId="176" fontId="2" fillId="6" borderId="8" xfId="0" applyNumberFormat="1" applyFont="1" applyFill="1" applyBorder="1" applyProtection="1">
      <alignment vertical="center"/>
    </xf>
    <xf numFmtId="0" fontId="2" fillId="6" borderId="4" xfId="0" applyFont="1" applyFill="1" applyBorder="1" applyProtection="1">
      <alignment vertical="center"/>
    </xf>
    <xf numFmtId="0" fontId="2" fillId="6" borderId="4" xfId="0" applyFont="1" applyFill="1" applyBorder="1" applyAlignment="1" applyProtection="1">
      <alignment horizontal="center" vertical="center"/>
    </xf>
    <xf numFmtId="176" fontId="2" fillId="6" borderId="4" xfId="0" applyNumberFormat="1" applyFont="1" applyFill="1" applyBorder="1" applyProtection="1">
      <alignment vertical="center"/>
    </xf>
    <xf numFmtId="0" fontId="2" fillId="6" borderId="0" xfId="0" applyFont="1" applyFill="1" applyBorder="1" applyProtection="1">
      <alignment vertical="center"/>
    </xf>
    <xf numFmtId="176" fontId="2" fillId="6" borderId="12" xfId="0" applyNumberFormat="1" applyFont="1" applyFill="1" applyBorder="1" applyProtection="1">
      <alignment vertical="center"/>
    </xf>
    <xf numFmtId="0" fontId="2" fillId="6" borderId="13" xfId="0" applyFont="1" applyFill="1" applyBorder="1" applyProtection="1">
      <alignment vertical="center"/>
    </xf>
    <xf numFmtId="0" fontId="0" fillId="6" borderId="0" xfId="0" applyFill="1" applyProtection="1">
      <alignment vertical="center"/>
    </xf>
    <xf numFmtId="0" fontId="6" fillId="5" borderId="0" xfId="1" applyFont="1" applyFill="1">
      <alignment vertical="center"/>
    </xf>
    <xf numFmtId="0" fontId="7" fillId="5" borderId="0" xfId="1" applyFont="1" applyFill="1" applyAlignment="1">
      <alignment horizontal="right" vertical="center"/>
    </xf>
    <xf numFmtId="0" fontId="7" fillId="5" borderId="0" xfId="1" applyFont="1" applyFill="1">
      <alignment vertical="center"/>
    </xf>
    <xf numFmtId="0" fontId="2" fillId="5" borderId="0" xfId="1" applyFont="1" applyFill="1">
      <alignment vertical="center"/>
    </xf>
    <xf numFmtId="0" fontId="2" fillId="5" borderId="0" xfId="1" applyFont="1" applyFill="1" applyAlignment="1">
      <alignment horizontal="right" vertical="center"/>
    </xf>
    <xf numFmtId="0" fontId="2" fillId="5" borderId="17" xfId="1" applyFont="1" applyFill="1" applyBorder="1">
      <alignment vertical="center"/>
    </xf>
    <xf numFmtId="0" fontId="6" fillId="5" borderId="17" xfId="1" applyFont="1" applyFill="1" applyBorder="1">
      <alignment vertical="center"/>
    </xf>
    <xf numFmtId="0" fontId="8" fillId="5" borderId="0" xfId="1" applyFont="1" applyFill="1">
      <alignment vertical="center"/>
    </xf>
    <xf numFmtId="38" fontId="6" fillId="5" borderId="0" xfId="2" applyFont="1" applyFill="1">
      <alignment vertical="center"/>
    </xf>
    <xf numFmtId="0" fontId="2" fillId="5" borderId="0" xfId="1" applyFont="1" applyFill="1" applyBorder="1">
      <alignment vertical="center"/>
    </xf>
    <xf numFmtId="0" fontId="2" fillId="7" borderId="18" xfId="1" applyFont="1" applyFill="1" applyBorder="1">
      <alignment vertical="center"/>
    </xf>
    <xf numFmtId="0" fontId="12" fillId="7" borderId="19" xfId="1" applyFont="1" applyFill="1" applyBorder="1">
      <alignment vertical="center"/>
    </xf>
    <xf numFmtId="0" fontId="6" fillId="7" borderId="19" xfId="1" applyFont="1" applyFill="1" applyBorder="1">
      <alignment vertical="center"/>
    </xf>
    <xf numFmtId="0" fontId="6" fillId="7" borderId="20" xfId="1" applyFont="1" applyFill="1" applyBorder="1">
      <alignment vertical="center"/>
    </xf>
    <xf numFmtId="0" fontId="2" fillId="7" borderId="7" xfId="1" applyFont="1" applyFill="1" applyBorder="1">
      <alignment vertical="center"/>
    </xf>
    <xf numFmtId="38" fontId="2" fillId="7" borderId="17" xfId="1" applyNumberFormat="1" applyFont="1" applyFill="1" applyBorder="1">
      <alignment vertical="center"/>
    </xf>
    <xf numFmtId="0" fontId="6" fillId="7" borderId="0" xfId="1" applyFont="1" applyFill="1" applyBorder="1">
      <alignment vertical="center"/>
    </xf>
    <xf numFmtId="0" fontId="6" fillId="7" borderId="21" xfId="1" applyFont="1" applyFill="1" applyBorder="1">
      <alignment vertical="center"/>
    </xf>
    <xf numFmtId="0" fontId="13" fillId="7" borderId="17" xfId="1" applyFont="1" applyFill="1" applyBorder="1" applyAlignment="1">
      <alignment horizontal="center" vertical="center"/>
    </xf>
    <xf numFmtId="0" fontId="13" fillId="7" borderId="0" xfId="1" applyFont="1" applyFill="1" applyBorder="1" applyAlignment="1">
      <alignment horizontal="center" vertical="center"/>
    </xf>
    <xf numFmtId="0" fontId="6" fillId="7" borderId="0" xfId="1" applyFont="1" applyFill="1" applyBorder="1" applyAlignment="1">
      <alignment vertical="top"/>
    </xf>
    <xf numFmtId="0" fontId="2" fillId="7" borderId="21" xfId="1" applyFont="1" applyFill="1" applyBorder="1">
      <alignment vertical="center"/>
    </xf>
    <xf numFmtId="0" fontId="6" fillId="5" borderId="0" xfId="1" applyFont="1" applyFill="1" applyBorder="1">
      <alignment vertical="center"/>
    </xf>
    <xf numFmtId="0" fontId="14" fillId="7" borderId="7" xfId="1" applyFont="1" applyFill="1" applyBorder="1">
      <alignment vertical="center"/>
    </xf>
    <xf numFmtId="0" fontId="6" fillId="7" borderId="0" xfId="1" applyFont="1" applyFill="1" applyBorder="1" applyAlignment="1"/>
    <xf numFmtId="38" fontId="2" fillId="7" borderId="17" xfId="2" applyFont="1" applyFill="1" applyBorder="1">
      <alignment vertical="center"/>
    </xf>
    <xf numFmtId="0" fontId="2" fillId="7" borderId="17" xfId="1" applyFont="1" applyFill="1" applyBorder="1" applyAlignment="1">
      <alignment horizontal="left" vertical="center"/>
    </xf>
    <xf numFmtId="177" fontId="2" fillId="7" borderId="17" xfId="1" applyNumberFormat="1" applyFont="1" applyFill="1" applyBorder="1">
      <alignment vertical="center"/>
    </xf>
    <xf numFmtId="178" fontId="2" fillId="7" borderId="17" xfId="2" applyNumberFormat="1" applyFont="1" applyFill="1" applyBorder="1">
      <alignment vertical="center"/>
    </xf>
    <xf numFmtId="0" fontId="6" fillId="7" borderId="7" xfId="1" applyFont="1" applyFill="1" applyBorder="1">
      <alignment vertical="center"/>
    </xf>
    <xf numFmtId="0" fontId="6" fillId="7" borderId="9" xfId="1" applyFont="1" applyFill="1" applyBorder="1">
      <alignment vertical="center"/>
    </xf>
    <xf numFmtId="178" fontId="2" fillId="7" borderId="0" xfId="2" applyNumberFormat="1" applyFont="1" applyFill="1" applyBorder="1">
      <alignment vertical="center"/>
    </xf>
    <xf numFmtId="0" fontId="6" fillId="0" borderId="0" xfId="1" applyFont="1" applyFill="1" applyBorder="1">
      <alignment vertical="center"/>
    </xf>
    <xf numFmtId="0" fontId="17" fillId="0" borderId="0" xfId="1" applyFont="1" applyFill="1" applyBorder="1" applyAlignment="1">
      <alignment vertical="center"/>
    </xf>
    <xf numFmtId="0" fontId="16" fillId="0" borderId="0" xfId="1" applyFont="1" applyFill="1" applyBorder="1" applyAlignment="1">
      <alignment vertical="center"/>
    </xf>
    <xf numFmtId="0" fontId="17" fillId="0" borderId="0" xfId="1" applyFont="1" applyFill="1" applyBorder="1">
      <alignment vertical="center"/>
    </xf>
    <xf numFmtId="0" fontId="2" fillId="7" borderId="25" xfId="1" applyFont="1" applyFill="1" applyBorder="1">
      <alignment vertical="center"/>
    </xf>
    <xf numFmtId="38" fontId="2" fillId="7" borderId="25" xfId="2" applyFont="1" applyFill="1" applyBorder="1">
      <alignment vertical="center"/>
    </xf>
    <xf numFmtId="0" fontId="2" fillId="7" borderId="10" xfId="1" applyFont="1" applyFill="1" applyBorder="1">
      <alignment vertical="center"/>
    </xf>
    <xf numFmtId="178" fontId="2" fillId="7" borderId="25" xfId="2" applyNumberFormat="1" applyFont="1" applyFill="1" applyBorder="1" applyAlignment="1">
      <alignment vertical="center"/>
    </xf>
    <xf numFmtId="0" fontId="6" fillId="0" borderId="19" xfId="1" applyFont="1" applyFill="1" applyBorder="1">
      <alignment vertical="center"/>
    </xf>
    <xf numFmtId="0" fontId="2" fillId="0" borderId="19" xfId="1" applyFont="1" applyFill="1" applyBorder="1">
      <alignment vertical="center"/>
    </xf>
    <xf numFmtId="0" fontId="18" fillId="0" borderId="2" xfId="1" applyFont="1" applyFill="1" applyBorder="1">
      <alignment vertical="center"/>
    </xf>
    <xf numFmtId="0" fontId="18" fillId="3" borderId="2" xfId="1" applyFont="1" applyFill="1" applyBorder="1">
      <alignment vertical="center"/>
    </xf>
    <xf numFmtId="0" fontId="18" fillId="0" borderId="3" xfId="1" applyFont="1" applyFill="1" applyBorder="1" applyAlignment="1">
      <alignment horizontal="center" vertical="center"/>
    </xf>
    <xf numFmtId="0" fontId="18" fillId="0" borderId="3" xfId="1" applyFont="1" applyFill="1" applyBorder="1">
      <alignment vertical="center"/>
    </xf>
    <xf numFmtId="0" fontId="20" fillId="5" borderId="0" xfId="0" applyFont="1" applyFill="1" applyProtection="1">
      <alignment vertical="center"/>
    </xf>
    <xf numFmtId="0" fontId="21" fillId="5" borderId="0" xfId="0" applyFont="1" applyFill="1" applyProtection="1">
      <alignment vertical="center"/>
    </xf>
    <xf numFmtId="0" fontId="2" fillId="4" borderId="41" xfId="0" applyFont="1" applyFill="1" applyBorder="1" applyAlignment="1" applyProtection="1">
      <alignment horizontal="center" vertical="center"/>
    </xf>
    <xf numFmtId="0" fontId="2" fillId="9" borderId="41" xfId="0" applyFont="1" applyFill="1" applyBorder="1" applyAlignment="1" applyProtection="1">
      <alignment horizontal="center" vertical="center"/>
    </xf>
    <xf numFmtId="176" fontId="2" fillId="6" borderId="38" xfId="0" applyNumberFormat="1" applyFont="1" applyFill="1" applyBorder="1" applyProtection="1">
      <alignment vertical="center"/>
    </xf>
    <xf numFmtId="0" fontId="2" fillId="6" borderId="23" xfId="0" applyFont="1" applyFill="1" applyBorder="1" applyProtection="1">
      <alignment vertical="center"/>
    </xf>
    <xf numFmtId="0" fontId="2" fillId="6" borderId="41" xfId="0" applyFont="1" applyFill="1" applyBorder="1" applyAlignment="1" applyProtection="1">
      <alignment horizontal="right" vertical="center"/>
    </xf>
    <xf numFmtId="176" fontId="2" fillId="6" borderId="21" xfId="0" applyNumberFormat="1" applyFont="1" applyFill="1" applyBorder="1" applyProtection="1">
      <alignment vertical="center"/>
    </xf>
    <xf numFmtId="176" fontId="2" fillId="6" borderId="42" xfId="0" applyNumberFormat="1" applyFont="1" applyFill="1" applyBorder="1" applyProtection="1">
      <alignment vertical="center"/>
    </xf>
    <xf numFmtId="0" fontId="2" fillId="6" borderId="43" xfId="0" applyFont="1" applyFill="1" applyBorder="1" applyProtection="1">
      <alignment vertical="center"/>
    </xf>
    <xf numFmtId="0" fontId="2" fillId="6" borderId="44" xfId="0" applyFont="1" applyFill="1" applyBorder="1" applyAlignment="1" applyProtection="1">
      <alignment horizontal="right" vertical="center"/>
    </xf>
    <xf numFmtId="0" fontId="2" fillId="6" borderId="13" xfId="0" applyFont="1" applyFill="1" applyBorder="1" applyAlignment="1" applyProtection="1">
      <alignment horizontal="center" vertical="center"/>
    </xf>
    <xf numFmtId="176" fontId="2" fillId="6" borderId="13" xfId="0" applyNumberFormat="1" applyFont="1" applyFill="1" applyBorder="1" applyProtection="1">
      <alignment vertical="center"/>
    </xf>
    <xf numFmtId="176" fontId="2" fillId="6" borderId="11" xfId="0" applyNumberFormat="1" applyFont="1" applyFill="1" applyBorder="1" applyProtection="1">
      <alignment vertical="center"/>
    </xf>
    <xf numFmtId="0" fontId="2" fillId="6" borderId="45" xfId="0" applyFont="1" applyFill="1" applyBorder="1" applyProtection="1">
      <alignment vertical="center"/>
    </xf>
    <xf numFmtId="0" fontId="2" fillId="6" borderId="46" xfId="0" applyFont="1" applyFill="1" applyBorder="1" applyAlignment="1" applyProtection="1">
      <alignment horizontal="right" vertical="center"/>
    </xf>
    <xf numFmtId="0" fontId="2" fillId="6" borderId="47" xfId="0" applyFont="1" applyFill="1" applyBorder="1" applyProtection="1">
      <alignment vertical="center"/>
    </xf>
    <xf numFmtId="0" fontId="2" fillId="6" borderId="11" xfId="0" applyFont="1" applyFill="1" applyBorder="1" applyProtection="1">
      <alignment vertical="center"/>
    </xf>
    <xf numFmtId="38" fontId="2" fillId="7" borderId="0" xfId="1" applyNumberFormat="1" applyFont="1" applyFill="1" applyBorder="1">
      <alignment vertical="center"/>
    </xf>
    <xf numFmtId="0" fontId="2" fillId="3" borderId="17" xfId="1" applyFont="1" applyFill="1" applyBorder="1" applyAlignment="1" applyProtection="1">
      <alignment horizontal="center" vertical="center"/>
      <protection locked="0"/>
    </xf>
    <xf numFmtId="0" fontId="2" fillId="3" borderId="17" xfId="1" applyFont="1" applyFill="1" applyBorder="1" applyProtection="1">
      <alignment vertical="center"/>
      <protection locked="0"/>
    </xf>
    <xf numFmtId="0" fontId="2" fillId="5" borderId="17" xfId="1" applyFont="1" applyFill="1" applyBorder="1" applyAlignment="1">
      <alignment horizontal="center" vertical="center"/>
    </xf>
    <xf numFmtId="38" fontId="6" fillId="5" borderId="17" xfId="2" applyFont="1" applyFill="1" applyBorder="1">
      <alignment vertical="center"/>
    </xf>
    <xf numFmtId="0" fontId="2" fillId="7" borderId="19" xfId="1" applyFont="1" applyFill="1" applyBorder="1">
      <alignment vertical="center"/>
    </xf>
    <xf numFmtId="0" fontId="2" fillId="7" borderId="17" xfId="1" applyFont="1" applyFill="1" applyBorder="1">
      <alignment vertical="center"/>
    </xf>
    <xf numFmtId="0" fontId="2" fillId="7" borderId="0" xfId="1" applyFont="1" applyFill="1" applyBorder="1">
      <alignment vertical="center"/>
    </xf>
    <xf numFmtId="38" fontId="2" fillId="5" borderId="17" xfId="1" applyNumberFormat="1" applyFont="1" applyFill="1" applyBorder="1">
      <alignment vertical="center"/>
    </xf>
    <xf numFmtId="0" fontId="11" fillId="7" borderId="0" xfId="1" applyFont="1" applyFill="1">
      <alignment vertical="center"/>
    </xf>
    <xf numFmtId="0" fontId="6" fillId="5" borderId="17" xfId="1" applyFont="1" applyFill="1" applyBorder="1" applyAlignment="1">
      <alignment horizontal="center" vertical="center"/>
    </xf>
    <xf numFmtId="38" fontId="6" fillId="5" borderId="17" xfId="3" applyFont="1" applyFill="1" applyBorder="1">
      <alignment vertical="center"/>
    </xf>
    <xf numFmtId="179" fontId="2" fillId="3" borderId="17" xfId="1" applyNumberFormat="1" applyFont="1" applyFill="1" applyBorder="1" applyProtection="1">
      <alignment vertical="center"/>
      <protection locked="0"/>
    </xf>
    <xf numFmtId="38" fontId="2" fillId="3" borderId="17" xfId="2" applyNumberFormat="1" applyFont="1" applyFill="1" applyBorder="1" applyProtection="1">
      <alignment vertical="center"/>
      <protection locked="0"/>
    </xf>
    <xf numFmtId="0" fontId="20" fillId="5" borderId="0" xfId="1" applyFont="1" applyFill="1" applyAlignment="1">
      <alignment horizontal="right" vertical="center"/>
    </xf>
    <xf numFmtId="38" fontId="2" fillId="5" borderId="34" xfId="3" applyFont="1" applyFill="1" applyBorder="1" applyAlignment="1" applyProtection="1">
      <alignment horizontal="center" vertical="center"/>
      <protection locked="0"/>
    </xf>
    <xf numFmtId="176" fontId="20" fillId="8" borderId="1" xfId="0" applyNumberFormat="1" applyFont="1" applyFill="1" applyBorder="1" applyProtection="1">
      <alignment vertical="center"/>
    </xf>
    <xf numFmtId="38" fontId="2" fillId="7" borderId="17" xfId="1" applyNumberFormat="1" applyFont="1" applyFill="1" applyBorder="1" applyProtection="1">
      <alignment vertical="center"/>
    </xf>
    <xf numFmtId="176" fontId="2" fillId="10" borderId="1" xfId="0" applyNumberFormat="1" applyFont="1" applyFill="1" applyBorder="1" applyProtection="1">
      <alignment vertical="center"/>
      <protection locked="0"/>
    </xf>
    <xf numFmtId="0" fontId="6" fillId="10" borderId="17" xfId="1" applyFont="1" applyFill="1" applyBorder="1" applyProtection="1">
      <alignment vertical="center"/>
      <protection locked="0"/>
    </xf>
    <xf numFmtId="0" fontId="22" fillId="8" borderId="3" xfId="0" applyNumberFormat="1" applyFont="1" applyFill="1" applyBorder="1" applyProtection="1">
      <alignment vertical="center"/>
    </xf>
    <xf numFmtId="182" fontId="2" fillId="3" borderId="17" xfId="2" applyNumberFormat="1" applyFont="1" applyFill="1" applyBorder="1" applyProtection="1">
      <alignment vertical="center"/>
      <protection locked="0"/>
    </xf>
    <xf numFmtId="0" fontId="2" fillId="10" borderId="17" xfId="1" applyFont="1" applyFill="1" applyBorder="1" applyAlignment="1" applyProtection="1">
      <alignment horizontal="center" vertical="center"/>
      <protection locked="0"/>
    </xf>
    <xf numFmtId="176" fontId="2" fillId="3" borderId="17" xfId="1" applyNumberFormat="1" applyFont="1" applyFill="1" applyBorder="1" applyProtection="1">
      <alignment vertical="center"/>
      <protection locked="0"/>
    </xf>
    <xf numFmtId="0" fontId="2" fillId="0" borderId="0" xfId="1" applyFont="1" applyFill="1" applyBorder="1">
      <alignment vertical="center"/>
    </xf>
    <xf numFmtId="176" fontId="6" fillId="5" borderId="17" xfId="1" applyNumberFormat="1" applyFont="1" applyFill="1" applyBorder="1">
      <alignment vertical="center"/>
    </xf>
    <xf numFmtId="179" fontId="6" fillId="5" borderId="17" xfId="1" applyNumberFormat="1" applyFont="1" applyFill="1" applyBorder="1">
      <alignment vertical="center"/>
    </xf>
    <xf numFmtId="0" fontId="23" fillId="7" borderId="17" xfId="1" applyFont="1" applyFill="1" applyBorder="1">
      <alignment vertical="center"/>
    </xf>
    <xf numFmtId="38" fontId="2" fillId="7" borderId="0" xfId="1" applyNumberFormat="1" applyFont="1" applyFill="1" applyBorder="1" applyProtection="1">
      <alignment vertical="center"/>
    </xf>
    <xf numFmtId="0" fontId="26" fillId="5" borderId="0" xfId="1" applyFont="1" applyFill="1">
      <alignment vertical="center"/>
    </xf>
    <xf numFmtId="0" fontId="19" fillId="0" borderId="0" xfId="1" applyFont="1" applyFill="1" applyBorder="1" applyAlignment="1">
      <alignment horizontal="center" vertical="center"/>
    </xf>
    <xf numFmtId="0" fontId="12" fillId="0" borderId="0" xfId="1" applyFont="1" applyFill="1" applyBorder="1" applyAlignment="1">
      <alignment horizontal="right" vertical="center"/>
    </xf>
    <xf numFmtId="0" fontId="18" fillId="0" borderId="0" xfId="1" applyFont="1" applyFill="1" applyBorder="1">
      <alignment vertical="center"/>
    </xf>
    <xf numFmtId="0" fontId="17" fillId="0" borderId="0" xfId="1" applyFont="1" applyFill="1" applyBorder="1" applyAlignment="1">
      <alignment horizontal="left" vertical="center"/>
    </xf>
    <xf numFmtId="0" fontId="28" fillId="7" borderId="0" xfId="1" applyFont="1" applyFill="1" applyBorder="1">
      <alignment vertical="center"/>
    </xf>
    <xf numFmtId="183" fontId="2" fillId="7" borderId="17" xfId="1" applyNumberFormat="1" applyFont="1" applyFill="1" applyBorder="1">
      <alignment vertical="center"/>
    </xf>
    <xf numFmtId="0" fontId="2" fillId="5" borderId="0" xfId="0" applyFont="1" applyFill="1" applyBorder="1" applyAlignment="1" applyProtection="1">
      <alignment horizontal="right" vertical="center"/>
    </xf>
    <xf numFmtId="38" fontId="2" fillId="5" borderId="0" xfId="3" applyFont="1" applyFill="1" applyBorder="1" applyProtection="1">
      <alignment vertical="center"/>
    </xf>
    <xf numFmtId="176" fontId="2" fillId="5" borderId="13" xfId="0" applyNumberFormat="1" applyFont="1" applyFill="1" applyBorder="1" applyProtection="1">
      <alignment vertical="center"/>
    </xf>
    <xf numFmtId="0" fontId="2" fillId="5" borderId="16" xfId="0" applyFont="1" applyFill="1" applyBorder="1" applyAlignment="1" applyProtection="1">
      <alignment horizontal="right" vertical="center"/>
    </xf>
    <xf numFmtId="0" fontId="12" fillId="0" borderId="3" xfId="1" applyFont="1" applyFill="1" applyBorder="1" applyAlignment="1">
      <alignment horizontal="right" vertical="center"/>
    </xf>
    <xf numFmtId="0" fontId="2" fillId="7" borderId="17" xfId="1" applyFont="1" applyFill="1" applyBorder="1" applyAlignment="1">
      <alignment horizontal="center" vertical="center"/>
    </xf>
    <xf numFmtId="0" fontId="2" fillId="7" borderId="17" xfId="1" applyFont="1" applyFill="1" applyBorder="1" applyAlignment="1">
      <alignment horizontal="center" vertical="center"/>
    </xf>
    <xf numFmtId="0" fontId="2" fillId="0" borderId="0" xfId="1" applyFont="1" applyFill="1" applyBorder="1" applyAlignment="1">
      <alignment horizontal="center" vertical="center"/>
    </xf>
    <xf numFmtId="10" fontId="2" fillId="0" borderId="0" xfId="4" applyNumberFormat="1" applyFont="1" applyFill="1" applyBorder="1">
      <alignment vertical="center"/>
    </xf>
    <xf numFmtId="178" fontId="2" fillId="0" borderId="0" xfId="2" applyNumberFormat="1" applyFont="1" applyFill="1" applyBorder="1" applyAlignment="1">
      <alignment horizontal="right" vertical="center"/>
    </xf>
    <xf numFmtId="178" fontId="2" fillId="0" borderId="0" xfId="2" applyNumberFormat="1" applyFont="1" applyFill="1" applyBorder="1">
      <alignment vertical="center"/>
    </xf>
    <xf numFmtId="178" fontId="2" fillId="0" borderId="0" xfId="2" applyNumberFormat="1" applyFont="1" applyFill="1" applyBorder="1" applyAlignment="1">
      <alignment vertical="center"/>
    </xf>
    <xf numFmtId="0" fontId="2" fillId="7" borderId="41" xfId="1" applyFont="1" applyFill="1" applyBorder="1" applyAlignment="1">
      <alignment horizontal="center" vertical="center"/>
    </xf>
    <xf numFmtId="178" fontId="2" fillId="7" borderId="41" xfId="2" applyNumberFormat="1" applyFont="1" applyFill="1" applyBorder="1" applyAlignment="1">
      <alignment horizontal="right" vertical="center"/>
    </xf>
    <xf numFmtId="178" fontId="2" fillId="7" borderId="41" xfId="2" applyNumberFormat="1" applyFont="1" applyFill="1" applyBorder="1">
      <alignment vertical="center"/>
    </xf>
    <xf numFmtId="178" fontId="2" fillId="7" borderId="46" xfId="2" applyNumberFormat="1" applyFont="1" applyFill="1" applyBorder="1" applyAlignment="1">
      <alignment vertical="center"/>
    </xf>
    <xf numFmtId="3" fontId="2" fillId="0" borderId="0" xfId="0" applyNumberFormat="1" applyFont="1">
      <alignment vertical="center"/>
    </xf>
    <xf numFmtId="0" fontId="2" fillId="0" borderId="0" xfId="0" applyFont="1">
      <alignment vertical="center"/>
    </xf>
    <xf numFmtId="0" fontId="2" fillId="0" borderId="0" xfId="0" applyFont="1" applyAlignment="1">
      <alignment horizontal="right" vertical="center"/>
    </xf>
    <xf numFmtId="0" fontId="2" fillId="0" borderId="17" xfId="1" applyFont="1" applyFill="1" applyBorder="1" applyAlignment="1">
      <alignment horizontal="center" vertical="center"/>
    </xf>
    <xf numFmtId="0" fontId="2" fillId="0" borderId="17" xfId="0" applyFont="1" applyFill="1" applyBorder="1" applyAlignment="1">
      <alignment horizontal="center" vertical="center"/>
    </xf>
    <xf numFmtId="184" fontId="2" fillId="0" borderId="17" xfId="4" applyNumberFormat="1" applyFont="1" applyFill="1" applyBorder="1">
      <alignment vertical="center"/>
    </xf>
    <xf numFmtId="0" fontId="2" fillId="0" borderId="0" xfId="0" applyFont="1" applyAlignment="1">
      <alignment vertical="center"/>
    </xf>
    <xf numFmtId="0" fontId="2" fillId="0" borderId="0" xfId="0" applyFont="1" applyAlignment="1">
      <alignment horizontal="center" vertical="center"/>
    </xf>
    <xf numFmtId="178" fontId="2" fillId="0" borderId="17" xfId="2" applyNumberFormat="1" applyFont="1" applyFill="1" applyBorder="1">
      <alignment vertical="center"/>
    </xf>
    <xf numFmtId="178" fontId="2" fillId="0" borderId="17" xfId="2" applyNumberFormat="1" applyFont="1" applyFill="1" applyBorder="1" applyAlignment="1">
      <alignment vertical="center"/>
    </xf>
    <xf numFmtId="3" fontId="29" fillId="0" borderId="0" xfId="0" applyNumberFormat="1" applyFont="1" applyBorder="1" applyAlignment="1">
      <alignment vertical="center"/>
    </xf>
    <xf numFmtId="3" fontId="2" fillId="0" borderId="0" xfId="0" applyNumberFormat="1" applyFont="1" applyBorder="1" applyAlignment="1">
      <alignment vertical="center"/>
    </xf>
    <xf numFmtId="3" fontId="30" fillId="0" borderId="24" xfId="0" applyNumberFormat="1" applyFont="1" applyBorder="1" applyAlignment="1">
      <alignment vertical="center"/>
    </xf>
    <xf numFmtId="3" fontId="2" fillId="0" borderId="24" xfId="0" applyNumberFormat="1" applyFont="1" applyBorder="1" applyAlignment="1">
      <alignment vertical="center"/>
    </xf>
    <xf numFmtId="3" fontId="30" fillId="0" borderId="0" xfId="0" applyNumberFormat="1" applyFont="1">
      <alignment vertical="center"/>
    </xf>
    <xf numFmtId="3" fontId="2" fillId="0" borderId="0" xfId="0" applyNumberFormat="1" applyFont="1" applyFill="1">
      <alignment vertical="center"/>
    </xf>
    <xf numFmtId="0" fontId="2" fillId="0" borderId="0" xfId="0" applyFont="1" applyFill="1">
      <alignment vertical="center"/>
    </xf>
    <xf numFmtId="0" fontId="2" fillId="0" borderId="0" xfId="0" applyFont="1" applyFill="1" applyBorder="1" applyAlignment="1">
      <alignment horizontal="center" vertical="center"/>
    </xf>
    <xf numFmtId="3" fontId="2" fillId="0" borderId="17" xfId="0" applyNumberFormat="1" applyFont="1" applyFill="1" applyBorder="1" applyAlignment="1">
      <alignment horizontal="center" vertical="center"/>
    </xf>
    <xf numFmtId="3" fontId="2" fillId="0" borderId="17" xfId="0" applyNumberFormat="1" applyFont="1" applyFill="1" applyBorder="1" applyAlignment="1">
      <alignment horizontal="center" vertical="center" wrapText="1"/>
    </xf>
    <xf numFmtId="3" fontId="2" fillId="11" borderId="17" xfId="0" applyNumberFormat="1" applyFont="1" applyFill="1" applyBorder="1">
      <alignment vertical="center"/>
    </xf>
    <xf numFmtId="0" fontId="2" fillId="11" borderId="17" xfId="0" applyFont="1" applyFill="1" applyBorder="1">
      <alignment vertical="center"/>
    </xf>
    <xf numFmtId="0" fontId="2" fillId="0" borderId="0" xfId="0" applyFont="1" applyFill="1" applyBorder="1" applyAlignment="1">
      <alignment horizontal="right" vertical="center"/>
    </xf>
    <xf numFmtId="3" fontId="2" fillId="0" borderId="17" xfId="0" applyNumberFormat="1" applyFont="1" applyBorder="1">
      <alignment vertical="center"/>
    </xf>
    <xf numFmtId="3" fontId="2" fillId="0" borderId="17" xfId="0" applyNumberFormat="1" applyFont="1" applyFill="1" applyBorder="1">
      <alignment vertical="center"/>
    </xf>
    <xf numFmtId="0" fontId="2" fillId="0" borderId="17" xfId="0" applyFont="1" applyFill="1" applyBorder="1">
      <alignment vertical="center"/>
    </xf>
    <xf numFmtId="3" fontId="2" fillId="11" borderId="17" xfId="0" applyNumberFormat="1" applyFont="1" applyFill="1" applyBorder="1" applyAlignment="1">
      <alignment vertical="center"/>
    </xf>
    <xf numFmtId="3" fontId="2" fillId="0" borderId="17" xfId="0" applyNumberFormat="1" applyFont="1" applyBorder="1" applyAlignment="1">
      <alignment vertical="center"/>
    </xf>
    <xf numFmtId="3" fontId="30" fillId="0" borderId="0" xfId="0" applyNumberFormat="1" applyFont="1" applyFill="1">
      <alignment vertical="center"/>
    </xf>
    <xf numFmtId="0" fontId="2" fillId="0" borderId="0" xfId="0" applyFont="1" applyFill="1" applyAlignment="1">
      <alignment horizontal="right" vertical="center"/>
    </xf>
    <xf numFmtId="10" fontId="2" fillId="0" borderId="17" xfId="4" applyNumberFormat="1" applyFont="1" applyFill="1" applyBorder="1">
      <alignment vertical="center"/>
    </xf>
    <xf numFmtId="3" fontId="2" fillId="0" borderId="17" xfId="0" applyNumberFormat="1" applyFont="1" applyBorder="1" applyAlignment="1">
      <alignment horizontal="center" vertical="center"/>
    </xf>
    <xf numFmtId="3" fontId="2" fillId="0" borderId="49" xfId="0" applyNumberFormat="1" applyFont="1" applyFill="1" applyBorder="1" applyAlignment="1">
      <alignment horizontal="center" vertical="center"/>
    </xf>
    <xf numFmtId="3" fontId="2" fillId="0" borderId="49" xfId="0" applyNumberFormat="1" applyFont="1" applyFill="1" applyBorder="1" applyAlignment="1">
      <alignment horizontal="center" vertical="center" wrapText="1"/>
    </xf>
    <xf numFmtId="0" fontId="2" fillId="0" borderId="51" xfId="0" applyFont="1" applyFill="1" applyBorder="1" applyAlignment="1">
      <alignment horizontal="right" vertical="center"/>
    </xf>
    <xf numFmtId="0" fontId="19" fillId="0" borderId="1" xfId="1" applyFont="1" applyFill="1" applyBorder="1" applyAlignment="1">
      <alignment horizontal="center" vertical="center"/>
    </xf>
    <xf numFmtId="0" fontId="19" fillId="0" borderId="3" xfId="1" applyFont="1" applyFill="1" applyBorder="1" applyAlignment="1">
      <alignment horizontal="center" vertical="center"/>
    </xf>
    <xf numFmtId="0" fontId="12" fillId="0" borderId="3" xfId="1" applyFont="1" applyFill="1" applyBorder="1" applyAlignment="1">
      <alignment horizontal="right" vertical="center"/>
    </xf>
    <xf numFmtId="0" fontId="27" fillId="5" borderId="0" xfId="1" applyFont="1" applyFill="1" applyAlignment="1">
      <alignment horizontal="left" vertical="center"/>
    </xf>
    <xf numFmtId="0" fontId="2" fillId="7" borderId="17" xfId="1" applyFont="1" applyFill="1" applyBorder="1" applyAlignment="1">
      <alignment horizontal="center" vertical="center"/>
    </xf>
    <xf numFmtId="180" fontId="2" fillId="7" borderId="17" xfId="1" applyNumberFormat="1" applyFont="1" applyFill="1" applyBorder="1" applyAlignment="1">
      <alignment horizontal="left" vertical="center"/>
    </xf>
    <xf numFmtId="181" fontId="2" fillId="7" borderId="17" xfId="1" applyNumberFormat="1" applyFont="1" applyFill="1" applyBorder="1" applyAlignment="1">
      <alignment horizontal="left" vertical="center"/>
    </xf>
    <xf numFmtId="0" fontId="19" fillId="3" borderId="1" xfId="1" applyFont="1" applyFill="1" applyBorder="1" applyAlignment="1">
      <alignment horizontal="center" vertical="center"/>
    </xf>
    <xf numFmtId="0" fontId="19" fillId="3" borderId="3" xfId="1" applyFont="1" applyFill="1" applyBorder="1" applyAlignment="1">
      <alignment horizontal="center" vertical="center"/>
    </xf>
    <xf numFmtId="0" fontId="12" fillId="3" borderId="3" xfId="1" applyFont="1" applyFill="1" applyBorder="1" applyAlignment="1">
      <alignment horizontal="right" vertical="center"/>
    </xf>
    <xf numFmtId="0" fontId="2" fillId="5" borderId="14" xfId="0" applyFont="1" applyFill="1" applyBorder="1" applyAlignment="1" applyProtection="1">
      <alignment horizontal="center" vertical="center"/>
    </xf>
    <xf numFmtId="0" fontId="2" fillId="5" borderId="15" xfId="0" applyFont="1" applyFill="1" applyBorder="1" applyAlignment="1" applyProtection="1">
      <alignment horizontal="center" vertical="center"/>
    </xf>
    <xf numFmtId="0" fontId="2" fillId="5" borderId="16" xfId="0" applyFont="1" applyFill="1" applyBorder="1" applyAlignment="1" applyProtection="1">
      <alignment horizontal="center" vertical="center"/>
    </xf>
    <xf numFmtId="0" fontId="2" fillId="5" borderId="28" xfId="0" applyFont="1" applyFill="1" applyBorder="1" applyAlignment="1" applyProtection="1">
      <alignment horizontal="center" vertical="center"/>
    </xf>
    <xf numFmtId="0" fontId="2" fillId="5" borderId="17" xfId="0" applyFont="1" applyFill="1" applyBorder="1" applyAlignment="1" applyProtection="1">
      <alignment horizontal="center" vertical="center"/>
    </xf>
    <xf numFmtId="0" fontId="2" fillId="5" borderId="17" xfId="0" applyFont="1" applyFill="1" applyBorder="1" applyAlignment="1" applyProtection="1">
      <alignment horizontal="center" vertical="center"/>
      <protection locked="0"/>
    </xf>
    <xf numFmtId="0" fontId="2" fillId="5" borderId="22" xfId="0" applyFont="1" applyFill="1" applyBorder="1" applyAlignment="1" applyProtection="1">
      <alignment horizontal="center" vertical="center"/>
      <protection locked="0"/>
    </xf>
    <xf numFmtId="0" fontId="2" fillId="5" borderId="28" xfId="0" applyFont="1" applyFill="1" applyBorder="1" applyAlignment="1" applyProtection="1">
      <alignment horizontal="center" vertical="center" shrinkToFit="1"/>
    </xf>
    <xf numFmtId="0" fontId="2" fillId="5" borderId="17" xfId="0" applyFont="1" applyFill="1" applyBorder="1" applyAlignment="1" applyProtection="1">
      <alignment horizontal="center" vertical="center" shrinkToFit="1"/>
    </xf>
    <xf numFmtId="0" fontId="2" fillId="5" borderId="29" xfId="0" applyFont="1" applyFill="1" applyBorder="1" applyAlignment="1" applyProtection="1">
      <alignment horizontal="center" vertical="center"/>
    </xf>
    <xf numFmtId="0" fontId="2" fillId="5" borderId="33" xfId="0" applyFont="1" applyFill="1" applyBorder="1" applyAlignment="1" applyProtection="1">
      <alignment horizontal="center" vertical="center"/>
    </xf>
    <xf numFmtId="0" fontId="2" fillId="5" borderId="33" xfId="0" applyFont="1" applyFill="1" applyBorder="1" applyAlignment="1" applyProtection="1">
      <alignment horizontal="center" vertical="center"/>
      <protection locked="0"/>
    </xf>
    <xf numFmtId="0" fontId="2" fillId="5" borderId="36" xfId="0" applyFont="1" applyFill="1" applyBorder="1" applyAlignment="1" applyProtection="1">
      <alignment horizontal="center" vertical="center"/>
      <protection locked="0"/>
    </xf>
    <xf numFmtId="0" fontId="2" fillId="5" borderId="30" xfId="0" applyFont="1" applyFill="1" applyBorder="1" applyAlignment="1" applyProtection="1">
      <alignment horizontal="center" vertical="center"/>
    </xf>
    <xf numFmtId="0" fontId="2" fillId="5" borderId="31" xfId="0" applyFont="1" applyFill="1" applyBorder="1" applyAlignment="1" applyProtection="1">
      <alignment horizontal="center" vertical="center"/>
    </xf>
    <xf numFmtId="38" fontId="2" fillId="5" borderId="32" xfId="3" applyFont="1" applyFill="1" applyBorder="1" applyAlignment="1" applyProtection="1">
      <alignment horizontal="center" vertical="center"/>
      <protection locked="0"/>
    </xf>
    <xf numFmtId="38" fontId="2" fillId="5" borderId="10" xfId="3" applyFont="1" applyFill="1" applyBorder="1" applyAlignment="1" applyProtection="1">
      <alignment horizontal="center" vertical="center"/>
      <protection locked="0"/>
    </xf>
    <xf numFmtId="0" fontId="2" fillId="5" borderId="1" xfId="0" applyFont="1" applyFill="1" applyBorder="1" applyAlignment="1" applyProtection="1">
      <alignment horizontal="center" vertical="center"/>
    </xf>
    <xf numFmtId="0" fontId="2" fillId="5" borderId="3" xfId="0" applyFont="1" applyFill="1" applyBorder="1" applyAlignment="1" applyProtection="1">
      <alignment horizontal="center" vertical="center"/>
    </xf>
    <xf numFmtId="0" fontId="2" fillId="5" borderId="2" xfId="0" applyFont="1" applyFill="1" applyBorder="1" applyAlignment="1" applyProtection="1">
      <alignment horizontal="center" vertical="center"/>
    </xf>
    <xf numFmtId="0" fontId="2" fillId="2" borderId="5" xfId="0" applyFont="1" applyFill="1" applyBorder="1" applyAlignment="1" applyProtection="1">
      <alignment horizontal="center" vertical="center"/>
    </xf>
    <xf numFmtId="0" fontId="2" fillId="2" borderId="6" xfId="0"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2" fillId="2" borderId="3"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0" fontId="2" fillId="5" borderId="26" xfId="0" applyFont="1" applyFill="1" applyBorder="1" applyAlignment="1" applyProtection="1">
      <alignment horizontal="center" vertical="center"/>
    </xf>
    <xf numFmtId="0" fontId="2" fillId="5" borderId="27" xfId="0" applyFont="1" applyFill="1" applyBorder="1" applyAlignment="1" applyProtection="1">
      <alignment horizontal="center" vertical="center"/>
    </xf>
    <xf numFmtId="0" fontId="2" fillId="5" borderId="27" xfId="0" applyFont="1" applyFill="1" applyBorder="1" applyAlignment="1" applyProtection="1">
      <alignment horizontal="center" vertical="center"/>
      <protection locked="0"/>
    </xf>
    <xf numFmtId="0" fontId="2" fillId="5" borderId="35"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xf>
    <xf numFmtId="0" fontId="2" fillId="4" borderId="3" xfId="0" applyFont="1" applyFill="1" applyBorder="1" applyAlignment="1" applyProtection="1">
      <alignment horizontal="center" vertical="center"/>
    </xf>
    <xf numFmtId="0" fontId="2" fillId="4" borderId="2" xfId="0" applyFont="1" applyFill="1" applyBorder="1" applyAlignment="1" applyProtection="1">
      <alignment horizontal="center" vertical="center"/>
    </xf>
    <xf numFmtId="0" fontId="2" fillId="4" borderId="18" xfId="0" applyFont="1" applyFill="1" applyBorder="1" applyAlignment="1" applyProtection="1">
      <alignment horizontal="center" vertical="center"/>
    </xf>
    <xf numFmtId="0" fontId="2" fillId="4" borderId="19" xfId="0" applyFont="1" applyFill="1" applyBorder="1" applyAlignment="1" applyProtection="1">
      <alignment horizontal="center" vertical="center"/>
    </xf>
    <xf numFmtId="0" fontId="2" fillId="4" borderId="20" xfId="0" applyFont="1" applyFill="1" applyBorder="1" applyAlignment="1" applyProtection="1">
      <alignment horizontal="center" vertical="center"/>
    </xf>
    <xf numFmtId="0" fontId="2" fillId="4" borderId="39" xfId="0" applyFont="1" applyFill="1" applyBorder="1" applyAlignment="1" applyProtection="1">
      <alignment horizontal="center" vertical="center"/>
    </xf>
    <xf numFmtId="0" fontId="2" fillId="4" borderId="24" xfId="0" applyFont="1" applyFill="1" applyBorder="1" applyAlignment="1" applyProtection="1">
      <alignment horizontal="center" vertical="center"/>
    </xf>
    <xf numFmtId="0" fontId="2" fillId="4" borderId="40" xfId="0" applyFont="1" applyFill="1" applyBorder="1" applyAlignment="1" applyProtection="1">
      <alignment horizontal="center" vertical="center"/>
    </xf>
    <xf numFmtId="0" fontId="2" fillId="4" borderId="5" xfId="0" applyFont="1" applyFill="1" applyBorder="1" applyAlignment="1" applyProtection="1">
      <alignment horizontal="center" vertical="center"/>
    </xf>
    <xf numFmtId="0" fontId="2" fillId="4" borderId="6" xfId="0" applyFont="1" applyFill="1" applyBorder="1" applyAlignment="1" applyProtection="1">
      <alignment horizontal="center" vertical="center"/>
    </xf>
    <xf numFmtId="0" fontId="2" fillId="4" borderId="37" xfId="0" applyFont="1" applyFill="1" applyBorder="1" applyAlignment="1" applyProtection="1">
      <alignment horizontal="center" vertical="center"/>
    </xf>
    <xf numFmtId="0" fontId="2" fillId="9" borderId="5" xfId="0" applyFont="1" applyFill="1" applyBorder="1" applyAlignment="1" applyProtection="1">
      <alignment horizontal="center" vertical="center"/>
    </xf>
    <xf numFmtId="0" fontId="2" fillId="9" borderId="6" xfId="0" applyFont="1" applyFill="1" applyBorder="1" applyAlignment="1" applyProtection="1">
      <alignment horizontal="center" vertical="center"/>
    </xf>
    <xf numFmtId="0" fontId="2" fillId="9" borderId="37" xfId="0" applyFont="1" applyFill="1" applyBorder="1" applyAlignment="1" applyProtection="1">
      <alignment horizontal="center" vertical="center"/>
    </xf>
    <xf numFmtId="0" fontId="2" fillId="4" borderId="28" xfId="0" applyFont="1" applyFill="1" applyBorder="1" applyAlignment="1" applyProtection="1">
      <alignment horizontal="center" vertical="center"/>
    </xf>
    <xf numFmtId="0" fontId="2" fillId="4" borderId="17" xfId="0" applyFont="1" applyFill="1" applyBorder="1" applyAlignment="1" applyProtection="1">
      <alignment horizontal="center" vertical="center"/>
    </xf>
    <xf numFmtId="0" fontId="2" fillId="9" borderId="28" xfId="0" applyFont="1" applyFill="1" applyBorder="1" applyAlignment="1" applyProtection="1">
      <alignment horizontal="center" vertical="center"/>
    </xf>
    <xf numFmtId="0" fontId="2" fillId="9" borderId="17" xfId="0" applyFont="1" applyFill="1" applyBorder="1" applyAlignment="1" applyProtection="1">
      <alignment horizontal="center" vertical="center"/>
    </xf>
    <xf numFmtId="0" fontId="2" fillId="0" borderId="0" xfId="0" applyFont="1" applyAlignment="1">
      <alignment horizontal="center" vertical="center"/>
    </xf>
    <xf numFmtId="3" fontId="2" fillId="0" borderId="17" xfId="0" applyNumberFormat="1" applyFont="1" applyBorder="1" applyAlignment="1">
      <alignment horizontal="center" vertical="center"/>
    </xf>
    <xf numFmtId="3" fontId="2" fillId="0" borderId="17" xfId="0" applyNumberFormat="1" applyFont="1" applyFill="1" applyBorder="1" applyAlignment="1">
      <alignment horizontal="center" vertical="center"/>
    </xf>
    <xf numFmtId="0" fontId="2" fillId="0" borderId="17"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49" xfId="0" applyFont="1" applyFill="1" applyBorder="1" applyAlignment="1">
      <alignment horizontal="center" vertical="center"/>
    </xf>
    <xf numFmtId="3" fontId="2" fillId="0" borderId="50" xfId="0" applyNumberFormat="1" applyFont="1" applyFill="1" applyBorder="1" applyAlignment="1">
      <alignment horizontal="center" vertical="center"/>
    </xf>
    <xf numFmtId="3" fontId="2" fillId="0" borderId="0" xfId="0" applyNumberFormat="1" applyFont="1" applyFill="1" applyBorder="1" applyAlignment="1">
      <alignment horizontal="center" vertical="center"/>
    </xf>
  </cellXfs>
  <cellStyles count="5">
    <cellStyle name="パーセント" xfId="4" builtinId="5"/>
    <cellStyle name="桁区切り" xfId="3" builtinId="6"/>
    <cellStyle name="桁区切り 2" xfId="2" xr:uid="{00000000-0005-0000-0000-000002000000}"/>
    <cellStyle name="標準" xfId="0" builtinId="0"/>
    <cellStyle name="標準 2" xfId="1" xr:uid="{00000000-0005-0000-0000-000004000000}"/>
  </cellStyles>
  <dxfs count="2">
    <dxf>
      <fill>
        <patternFill>
          <bgColor rgb="FFFFFF00"/>
        </patternFill>
      </fill>
    </dxf>
    <dxf>
      <fill>
        <patternFill patternType="none">
          <bgColor auto="1"/>
        </patternFill>
      </fill>
    </dxf>
  </dxfs>
  <tableStyles count="0" defaultTableStyle="TableStyleMedium2" defaultPivotStyle="PivotStyleLight16"/>
  <colors>
    <mruColors>
      <color rgb="FFE3FFC9"/>
      <color rgb="FFFFFFCC"/>
      <color rgb="FFD1FF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228599</xdr:colOff>
      <xdr:row>40</xdr:row>
      <xdr:rowOff>273050</xdr:rowOff>
    </xdr:from>
    <xdr:to>
      <xdr:col>6</xdr:col>
      <xdr:colOff>771524</xdr:colOff>
      <xdr:row>41</xdr:row>
      <xdr:rowOff>215900</xdr:rowOff>
    </xdr:to>
    <xdr:sp macro="" textlink="">
      <xdr:nvSpPr>
        <xdr:cNvPr id="2" name="右矢印 1">
          <a:extLst>
            <a:ext uri="{FF2B5EF4-FFF2-40B4-BE49-F238E27FC236}">
              <a16:creationId xmlns:a16="http://schemas.microsoft.com/office/drawing/2014/main" id="{59785E18-A61B-4E8A-9F1F-C0D6FC11E606}"/>
            </a:ext>
          </a:extLst>
        </xdr:cNvPr>
        <xdr:cNvSpPr/>
      </xdr:nvSpPr>
      <xdr:spPr>
        <a:xfrm flipH="1">
          <a:off x="7118349" y="12480925"/>
          <a:ext cx="542925" cy="27622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ja-JP" altLang="en-US"/>
        </a:p>
      </xdr:txBody>
    </xdr:sp>
    <xdr:clientData/>
  </xdr:twoCellAnchor>
  <xdr:twoCellAnchor>
    <xdr:from>
      <xdr:col>3</xdr:col>
      <xdr:colOff>323850</xdr:colOff>
      <xdr:row>21</xdr:row>
      <xdr:rowOff>142875</xdr:rowOff>
    </xdr:from>
    <xdr:to>
      <xdr:col>3</xdr:col>
      <xdr:colOff>866775</xdr:colOff>
      <xdr:row>23</xdr:row>
      <xdr:rowOff>161925</xdr:rowOff>
    </xdr:to>
    <xdr:sp macro="" textlink="">
      <xdr:nvSpPr>
        <xdr:cNvPr id="3" name="曲折矢印 2">
          <a:extLst>
            <a:ext uri="{FF2B5EF4-FFF2-40B4-BE49-F238E27FC236}">
              <a16:creationId xmlns:a16="http://schemas.microsoft.com/office/drawing/2014/main" id="{656E69E0-E256-4826-9DA2-A414595EDB13}"/>
            </a:ext>
          </a:extLst>
        </xdr:cNvPr>
        <xdr:cNvSpPr/>
      </xdr:nvSpPr>
      <xdr:spPr>
        <a:xfrm>
          <a:off x="3267075" y="6162675"/>
          <a:ext cx="542925" cy="685800"/>
        </a:xfrm>
        <a:prstGeom prst="bentArrow">
          <a:avLst/>
        </a:prstGeom>
        <a:solidFill>
          <a:schemeClr val="tx1"/>
        </a:solidFill>
        <a:ln>
          <a:solidFill>
            <a:schemeClr val="tx1"/>
          </a:solidFill>
        </a:ln>
        <a:scene3d>
          <a:camera prst="orthographicFront">
            <a:rot lat="0" lon="1080000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625929</xdr:colOff>
      <xdr:row>0</xdr:row>
      <xdr:rowOff>134180</xdr:rowOff>
    </xdr:from>
    <xdr:to>
      <xdr:col>20</xdr:col>
      <xdr:colOff>326571</xdr:colOff>
      <xdr:row>7</xdr:row>
      <xdr:rowOff>46268</xdr:rowOff>
    </xdr:to>
    <xdr:grpSp>
      <xdr:nvGrpSpPr>
        <xdr:cNvPr id="21" name="グループ化 20">
          <a:extLst>
            <a:ext uri="{FF2B5EF4-FFF2-40B4-BE49-F238E27FC236}">
              <a16:creationId xmlns:a16="http://schemas.microsoft.com/office/drawing/2014/main" id="{D0C245CB-AA48-4E61-A2E8-3FB57CD2A0D3}"/>
            </a:ext>
          </a:extLst>
        </xdr:cNvPr>
        <xdr:cNvGrpSpPr/>
      </xdr:nvGrpSpPr>
      <xdr:grpSpPr>
        <a:xfrm>
          <a:off x="7293429" y="134180"/>
          <a:ext cx="11742963" cy="2306945"/>
          <a:chOff x="7293429" y="134180"/>
          <a:chExt cx="10613571" cy="2306945"/>
        </a:xfrm>
      </xdr:grpSpPr>
      <xdr:sp macro="" textlink="">
        <xdr:nvSpPr>
          <xdr:cNvPr id="3" name="角丸四角形 2">
            <a:extLst>
              <a:ext uri="{FF2B5EF4-FFF2-40B4-BE49-F238E27FC236}">
                <a16:creationId xmlns:a16="http://schemas.microsoft.com/office/drawing/2014/main" id="{CDE2DE6F-335F-4DBA-B45C-474881D4E004}"/>
              </a:ext>
            </a:extLst>
          </xdr:cNvPr>
          <xdr:cNvSpPr/>
        </xdr:nvSpPr>
        <xdr:spPr>
          <a:xfrm>
            <a:off x="8487659" y="147485"/>
            <a:ext cx="1868625" cy="2288583"/>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a:solidFill>
                  <a:schemeClr val="tx1"/>
                </a:solidFill>
                <a:latin typeface="03スマートフォントUI" panose="02000600000000000000" pitchFamily="50" charset="-128"/>
                <a:ea typeface="03スマートフォントUI" panose="02000600000000000000" pitchFamily="50" charset="-128"/>
              </a:rPr>
              <a:t>【</a:t>
            </a:r>
            <a:r>
              <a:rPr kumimoji="1" lang="ja-JP" altLang="en-US" sz="2000">
                <a:solidFill>
                  <a:schemeClr val="tx1"/>
                </a:solidFill>
                <a:latin typeface="03スマートフォントUI" panose="02000600000000000000" pitchFamily="50" charset="-128"/>
                <a:ea typeface="03スマートフォントUI" panose="02000600000000000000" pitchFamily="50" charset="-128"/>
              </a:rPr>
              <a:t>医療分</a:t>
            </a:r>
            <a:r>
              <a:rPr kumimoji="1" lang="en-US" altLang="ja-JP" sz="2000">
                <a:solidFill>
                  <a:schemeClr val="tx1"/>
                </a:solidFill>
                <a:latin typeface="03スマートフォントUI" panose="02000600000000000000" pitchFamily="50" charset="-128"/>
                <a:ea typeface="03スマートフォントUI" panose="02000600000000000000" pitchFamily="50" charset="-128"/>
              </a:rPr>
              <a:t>】</a:t>
            </a:r>
          </a:p>
          <a:p>
            <a:pPr algn="ctr"/>
            <a:r>
              <a:rPr lang="ja-JP" altLang="en-US"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①所得割</a:t>
            </a:r>
            <a:endParaRPr lang="en-US" altLang="ja-JP"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endParaRPr>
          </a:p>
          <a:p>
            <a:pPr algn="ctr"/>
            <a:r>
              <a:rPr lang="ja-JP" altLang="en-US"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②均等割</a:t>
            </a:r>
            <a:endParaRPr lang="en-US" altLang="ja-JP"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endParaRPr>
          </a:p>
          <a:p>
            <a:pPr algn="ctr"/>
            <a:r>
              <a:rPr lang="ja-JP" altLang="en-US"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③平等割</a:t>
            </a:r>
            <a:endParaRPr lang="en-US" altLang="ja-JP"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endParaRPr>
          </a:p>
          <a:p>
            <a:pPr algn="ctr"/>
            <a:r>
              <a:rPr lang="ja-JP" altLang="en-US" sz="14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限度額</a:t>
            </a:r>
            <a:r>
              <a:rPr lang="en-US" altLang="ja-JP" sz="14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670,000</a:t>
            </a:r>
            <a:r>
              <a:rPr lang="ja-JP" altLang="en-US" sz="14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円</a:t>
            </a:r>
            <a:endParaRPr kumimoji="1" lang="ja-JP" altLang="en-US" sz="1400">
              <a:solidFill>
                <a:schemeClr val="tx1"/>
              </a:solidFill>
              <a:latin typeface="03スマートフォントUI" panose="02000600000000000000" pitchFamily="50" charset="-128"/>
              <a:ea typeface="03スマートフォントUI" panose="02000600000000000000" pitchFamily="50" charset="-128"/>
            </a:endParaRPr>
          </a:p>
        </xdr:txBody>
      </xdr:sp>
      <xdr:sp macro="" textlink="">
        <xdr:nvSpPr>
          <xdr:cNvPr id="4" name="角丸四角形 3">
            <a:extLst>
              <a:ext uri="{FF2B5EF4-FFF2-40B4-BE49-F238E27FC236}">
                <a16:creationId xmlns:a16="http://schemas.microsoft.com/office/drawing/2014/main" id="{60987687-ED2D-4FFB-9B0A-0EEDECD576B7}"/>
              </a:ext>
            </a:extLst>
          </xdr:cNvPr>
          <xdr:cNvSpPr/>
        </xdr:nvSpPr>
        <xdr:spPr>
          <a:xfrm>
            <a:off x="10850836" y="144174"/>
            <a:ext cx="2259284" cy="2288583"/>
          </a:xfrm>
          <a:prstGeom prst="roundRect">
            <a:avLst/>
          </a:prstGeom>
          <a:solidFill>
            <a:srgbClr val="EEC6F6"/>
          </a:solid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solidFill>
                  <a:schemeClr val="tx1"/>
                </a:solidFill>
                <a:latin typeface="03スマートフォントUI" panose="02000600000000000000" pitchFamily="50" charset="-128"/>
                <a:ea typeface="03スマートフォントUI" panose="02000600000000000000" pitchFamily="50" charset="-128"/>
              </a:rPr>
              <a:t>【</a:t>
            </a:r>
            <a:r>
              <a:rPr kumimoji="1" lang="ja-JP" altLang="en-US" sz="2000">
                <a:solidFill>
                  <a:schemeClr val="tx1"/>
                </a:solidFill>
                <a:latin typeface="03スマートフォントUI" panose="02000600000000000000" pitchFamily="50" charset="-128"/>
                <a:ea typeface="03スマートフォントUI" panose="02000600000000000000" pitchFamily="50" charset="-128"/>
              </a:rPr>
              <a:t>支援金分</a:t>
            </a:r>
            <a:r>
              <a:rPr kumimoji="1" lang="en-US" altLang="ja-JP" sz="2000">
                <a:solidFill>
                  <a:schemeClr val="tx1"/>
                </a:solidFill>
                <a:latin typeface="03スマートフォントUI" panose="02000600000000000000" pitchFamily="50" charset="-128"/>
                <a:ea typeface="03スマートフォントUI" panose="02000600000000000000" pitchFamily="50" charset="-128"/>
              </a:rPr>
              <a:t>】</a:t>
            </a:r>
          </a:p>
          <a:p>
            <a:pPr algn="ctr"/>
            <a:r>
              <a:rPr lang="ja-JP" altLang="en-US"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①所得割</a:t>
            </a:r>
            <a:endParaRPr lang="en-US" altLang="ja-JP"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endParaRPr>
          </a:p>
          <a:p>
            <a:pPr algn="ctr"/>
            <a:r>
              <a:rPr lang="ja-JP" altLang="en-US"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②均等割</a:t>
            </a:r>
            <a:endParaRPr lang="en-US" altLang="ja-JP"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endParaRPr>
          </a:p>
          <a:p>
            <a:pPr algn="ctr"/>
            <a:r>
              <a:rPr lang="ja-JP" altLang="en-US"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③平等割</a:t>
            </a:r>
            <a:endParaRPr lang="en-US" altLang="ja-JP"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endParaRPr>
          </a:p>
          <a:p>
            <a:pPr algn="ctr"/>
            <a:r>
              <a:rPr lang="ja-JP" altLang="en-US" sz="14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限度額</a:t>
            </a:r>
            <a:r>
              <a:rPr lang="en-US" altLang="ja-JP" sz="14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260,000</a:t>
            </a:r>
            <a:r>
              <a:rPr lang="ja-JP" altLang="en-US" sz="14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円</a:t>
            </a:r>
            <a:endParaRPr kumimoji="1" lang="ja-JP" altLang="en-US" sz="1400">
              <a:solidFill>
                <a:schemeClr val="tx1"/>
              </a:solidFill>
              <a:latin typeface="03スマートフォントUI" panose="02000600000000000000" pitchFamily="50" charset="-128"/>
              <a:ea typeface="03スマートフォントUI" panose="02000600000000000000" pitchFamily="50" charset="-128"/>
            </a:endParaRPr>
          </a:p>
        </xdr:txBody>
      </xdr:sp>
      <xdr:sp macro="" textlink="">
        <xdr:nvSpPr>
          <xdr:cNvPr id="5" name="角丸四角形 4">
            <a:extLst>
              <a:ext uri="{FF2B5EF4-FFF2-40B4-BE49-F238E27FC236}">
                <a16:creationId xmlns:a16="http://schemas.microsoft.com/office/drawing/2014/main" id="{DAFC9C25-4A8F-4214-AA24-4E05F5CD8403}"/>
              </a:ext>
            </a:extLst>
          </xdr:cNvPr>
          <xdr:cNvSpPr/>
        </xdr:nvSpPr>
        <xdr:spPr>
          <a:xfrm>
            <a:off x="13540101" y="152542"/>
            <a:ext cx="1958435" cy="2288583"/>
          </a:xfrm>
          <a:prstGeom prst="roundRect">
            <a:avLst/>
          </a:prstGeom>
          <a:solidFill>
            <a:schemeClr val="accent4">
              <a:lumMod val="20000"/>
              <a:lumOff val="80000"/>
            </a:schemeClr>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solidFill>
                  <a:schemeClr val="tx1"/>
                </a:solidFill>
                <a:latin typeface="03スマートフォントUI" panose="02000600000000000000" pitchFamily="50" charset="-128"/>
                <a:ea typeface="03スマートフォントUI" panose="02000600000000000000" pitchFamily="50" charset="-128"/>
              </a:rPr>
              <a:t>【</a:t>
            </a:r>
            <a:r>
              <a:rPr kumimoji="1" lang="ja-JP" altLang="en-US" sz="2000">
                <a:solidFill>
                  <a:schemeClr val="tx1"/>
                </a:solidFill>
                <a:latin typeface="03スマートフォントUI" panose="02000600000000000000" pitchFamily="50" charset="-128"/>
                <a:ea typeface="03スマートフォントUI" panose="02000600000000000000" pitchFamily="50" charset="-128"/>
              </a:rPr>
              <a:t>介護分</a:t>
            </a:r>
            <a:r>
              <a:rPr kumimoji="1" lang="en-US" altLang="ja-JP" sz="2000">
                <a:solidFill>
                  <a:schemeClr val="tx1"/>
                </a:solidFill>
                <a:latin typeface="03スマートフォントUI" panose="02000600000000000000" pitchFamily="50" charset="-128"/>
                <a:ea typeface="03スマートフォントUI" panose="02000600000000000000" pitchFamily="50" charset="-128"/>
              </a:rPr>
              <a:t>】</a:t>
            </a:r>
          </a:p>
          <a:p>
            <a:pPr algn="ctr"/>
            <a:r>
              <a:rPr kumimoji="1" lang="ja-JP" altLang="en-US" sz="1400">
                <a:solidFill>
                  <a:schemeClr val="tx1"/>
                </a:solidFill>
                <a:latin typeface="03スマートフォントUI" panose="02000600000000000000" pitchFamily="50" charset="-128"/>
                <a:ea typeface="03スマートフォントUI" panose="02000600000000000000" pitchFamily="50" charset="-128"/>
              </a:rPr>
              <a:t>（</a:t>
            </a:r>
            <a:r>
              <a:rPr kumimoji="1" lang="en-US" altLang="ja-JP" sz="1400">
                <a:solidFill>
                  <a:schemeClr val="tx1"/>
                </a:solidFill>
                <a:latin typeface="03スマートフォントUI" panose="02000600000000000000" pitchFamily="50" charset="-128"/>
                <a:ea typeface="03スマートフォントUI" panose="02000600000000000000" pitchFamily="50" charset="-128"/>
              </a:rPr>
              <a:t>40</a:t>
            </a:r>
            <a:r>
              <a:rPr kumimoji="1" lang="ja-JP" altLang="en-US" sz="1400">
                <a:solidFill>
                  <a:schemeClr val="tx1"/>
                </a:solidFill>
                <a:latin typeface="03スマートフォントUI" panose="02000600000000000000" pitchFamily="50" charset="-128"/>
                <a:ea typeface="03スマートフォントUI" panose="02000600000000000000" pitchFamily="50" charset="-128"/>
              </a:rPr>
              <a:t>～</a:t>
            </a:r>
            <a:r>
              <a:rPr kumimoji="1" lang="en-US" altLang="ja-JP" sz="1400">
                <a:solidFill>
                  <a:schemeClr val="tx1"/>
                </a:solidFill>
                <a:latin typeface="03スマートフォントUI" panose="02000600000000000000" pitchFamily="50" charset="-128"/>
                <a:ea typeface="03スマートフォントUI" panose="02000600000000000000" pitchFamily="50" charset="-128"/>
              </a:rPr>
              <a:t>64</a:t>
            </a:r>
            <a:r>
              <a:rPr kumimoji="1" lang="ja-JP" altLang="en-US" sz="1400">
                <a:solidFill>
                  <a:schemeClr val="tx1"/>
                </a:solidFill>
                <a:latin typeface="03スマートフォントUI" panose="02000600000000000000" pitchFamily="50" charset="-128"/>
                <a:ea typeface="03スマートフォントUI" panose="02000600000000000000" pitchFamily="50" charset="-128"/>
              </a:rPr>
              <a:t>歳）</a:t>
            </a:r>
            <a:endParaRPr kumimoji="1" lang="en-US" altLang="ja-JP" sz="1400">
              <a:solidFill>
                <a:schemeClr val="tx1"/>
              </a:solidFill>
              <a:latin typeface="03スマートフォントUI" panose="02000600000000000000" pitchFamily="50" charset="-128"/>
              <a:ea typeface="03スマートフォントUI" panose="02000600000000000000" pitchFamily="50" charset="-128"/>
            </a:endParaRPr>
          </a:p>
          <a:p>
            <a:pPr algn="ctr"/>
            <a:r>
              <a:rPr lang="ja-JP" altLang="en-US"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①所得割</a:t>
            </a:r>
            <a:endParaRPr lang="en-US" altLang="ja-JP"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endParaRPr>
          </a:p>
          <a:p>
            <a:pPr algn="ctr"/>
            <a:r>
              <a:rPr lang="ja-JP" altLang="en-US"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②均等割</a:t>
            </a:r>
            <a:endParaRPr lang="en-US" altLang="ja-JP"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endParaRPr>
          </a:p>
          <a:p>
            <a:pPr algn="ctr"/>
            <a:r>
              <a:rPr lang="ja-JP" altLang="en-US" sz="14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限度額</a:t>
            </a:r>
            <a:r>
              <a:rPr lang="en-US" altLang="ja-JP" sz="14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170,000</a:t>
            </a:r>
            <a:r>
              <a:rPr lang="ja-JP" altLang="en-US" sz="14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円</a:t>
            </a:r>
            <a:endParaRPr kumimoji="1" lang="ja-JP" altLang="en-US" sz="1400">
              <a:solidFill>
                <a:schemeClr val="tx1"/>
              </a:solidFill>
              <a:latin typeface="03スマートフォントUI" panose="02000600000000000000" pitchFamily="50" charset="-128"/>
              <a:ea typeface="03スマートフォントUI" panose="02000600000000000000" pitchFamily="50" charset="-128"/>
            </a:endParaRPr>
          </a:p>
        </xdr:txBody>
      </xdr:sp>
      <xdr:sp macro="" textlink="">
        <xdr:nvSpPr>
          <xdr:cNvPr id="6" name="等号 5">
            <a:extLst>
              <a:ext uri="{FF2B5EF4-FFF2-40B4-BE49-F238E27FC236}">
                <a16:creationId xmlns:a16="http://schemas.microsoft.com/office/drawing/2014/main" id="{109A29C3-FA3B-434B-B50F-0CAD238FCBA3}"/>
              </a:ext>
            </a:extLst>
          </xdr:cNvPr>
          <xdr:cNvSpPr/>
        </xdr:nvSpPr>
        <xdr:spPr>
          <a:xfrm>
            <a:off x="8009968" y="966178"/>
            <a:ext cx="435545" cy="501149"/>
          </a:xfrm>
          <a:prstGeom prst="mathEqual">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7" name="角丸四角形 6">
            <a:extLst>
              <a:ext uri="{FF2B5EF4-FFF2-40B4-BE49-F238E27FC236}">
                <a16:creationId xmlns:a16="http://schemas.microsoft.com/office/drawing/2014/main" id="{9401D5F9-87AF-43BB-A73E-BD33581B63FB}"/>
              </a:ext>
            </a:extLst>
          </xdr:cNvPr>
          <xdr:cNvSpPr/>
        </xdr:nvSpPr>
        <xdr:spPr>
          <a:xfrm>
            <a:off x="7293429" y="134180"/>
            <a:ext cx="688441" cy="2205059"/>
          </a:xfrm>
          <a:prstGeom prst="roundRect">
            <a:avLst/>
          </a:prstGeom>
          <a:solidFill>
            <a:schemeClr val="accent6">
              <a:lumMod val="20000"/>
              <a:lumOff val="80000"/>
            </a:schemeClr>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ctr"/>
          <a:lstStyle/>
          <a:p>
            <a:pPr algn="ctr"/>
            <a:r>
              <a:rPr kumimoji="1" lang="ja-JP" altLang="en-US" sz="2400">
                <a:solidFill>
                  <a:schemeClr val="tx1"/>
                </a:solidFill>
                <a:latin typeface="03スマートフォントUI" panose="02000600000000000000" pitchFamily="50" charset="-128"/>
                <a:ea typeface="03スマートフォントUI" panose="02000600000000000000" pitchFamily="50" charset="-128"/>
              </a:rPr>
              <a:t>保険税額</a:t>
            </a:r>
          </a:p>
        </xdr:txBody>
      </xdr:sp>
      <xdr:sp macro="" textlink="">
        <xdr:nvSpPr>
          <xdr:cNvPr id="8" name="加算 7">
            <a:extLst>
              <a:ext uri="{FF2B5EF4-FFF2-40B4-BE49-F238E27FC236}">
                <a16:creationId xmlns:a16="http://schemas.microsoft.com/office/drawing/2014/main" id="{72DC1F89-9EDB-47F3-8E5B-312B79A22657}"/>
              </a:ext>
            </a:extLst>
          </xdr:cNvPr>
          <xdr:cNvSpPr/>
        </xdr:nvSpPr>
        <xdr:spPr>
          <a:xfrm>
            <a:off x="13046525" y="1006929"/>
            <a:ext cx="604158" cy="302078"/>
          </a:xfrm>
          <a:prstGeom prst="mathPlus">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9" name="加算 8">
            <a:extLst>
              <a:ext uri="{FF2B5EF4-FFF2-40B4-BE49-F238E27FC236}">
                <a16:creationId xmlns:a16="http://schemas.microsoft.com/office/drawing/2014/main" id="{2CED73F1-1E91-40B7-8AB6-B5AC520BE8E5}"/>
              </a:ext>
            </a:extLst>
          </xdr:cNvPr>
          <xdr:cNvSpPr/>
        </xdr:nvSpPr>
        <xdr:spPr>
          <a:xfrm>
            <a:off x="10319656" y="1006929"/>
            <a:ext cx="612322" cy="318407"/>
          </a:xfrm>
          <a:prstGeom prst="mathPlus">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11" name="加算 7">
            <a:extLst>
              <a:ext uri="{FF2B5EF4-FFF2-40B4-BE49-F238E27FC236}">
                <a16:creationId xmlns:a16="http://schemas.microsoft.com/office/drawing/2014/main" id="{CE8F80DF-40DF-4968-9618-864614D791EE}"/>
              </a:ext>
            </a:extLst>
          </xdr:cNvPr>
          <xdr:cNvSpPr/>
        </xdr:nvSpPr>
        <xdr:spPr>
          <a:xfrm>
            <a:off x="15441382" y="1006929"/>
            <a:ext cx="604158" cy="302078"/>
          </a:xfrm>
          <a:prstGeom prst="mathPlus">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12" name="角丸四角形 4">
            <a:extLst>
              <a:ext uri="{FF2B5EF4-FFF2-40B4-BE49-F238E27FC236}">
                <a16:creationId xmlns:a16="http://schemas.microsoft.com/office/drawing/2014/main" id="{E493FCFE-F02A-4B43-844A-56D372E1BB25}"/>
              </a:ext>
            </a:extLst>
          </xdr:cNvPr>
          <xdr:cNvSpPr/>
        </xdr:nvSpPr>
        <xdr:spPr>
          <a:xfrm>
            <a:off x="15948565" y="152542"/>
            <a:ext cx="1958435" cy="2288583"/>
          </a:xfrm>
          <a:prstGeom prst="roundRect">
            <a:avLst/>
          </a:prstGeom>
          <a:solidFill>
            <a:schemeClr val="accent3">
              <a:lumMod val="40000"/>
              <a:lumOff val="60000"/>
            </a:schemeClr>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solidFill>
                  <a:schemeClr val="tx1"/>
                </a:solidFill>
                <a:latin typeface="03スマートフォントUI" panose="02000600000000000000" pitchFamily="50" charset="-128"/>
                <a:ea typeface="03スマートフォントUI" panose="02000600000000000000" pitchFamily="50" charset="-128"/>
              </a:rPr>
              <a:t>【</a:t>
            </a:r>
            <a:r>
              <a:rPr kumimoji="1" lang="ja-JP" altLang="en-US" sz="2000">
                <a:solidFill>
                  <a:schemeClr val="tx1"/>
                </a:solidFill>
                <a:latin typeface="03スマートフォントUI" panose="02000600000000000000" pitchFamily="50" charset="-128"/>
                <a:ea typeface="03スマートフォントUI" panose="02000600000000000000" pitchFamily="50" charset="-128"/>
              </a:rPr>
              <a:t>子ども分</a:t>
            </a:r>
            <a:r>
              <a:rPr kumimoji="1" lang="en-US" altLang="ja-JP" sz="2000">
                <a:solidFill>
                  <a:schemeClr val="tx1"/>
                </a:solidFill>
                <a:latin typeface="03スマートフォントUI" panose="02000600000000000000" pitchFamily="50" charset="-128"/>
                <a:ea typeface="03スマートフォントUI" panose="02000600000000000000" pitchFamily="50" charset="-128"/>
              </a:rPr>
              <a:t>】</a:t>
            </a:r>
          </a:p>
          <a:p>
            <a:pPr algn="ctr"/>
            <a:r>
              <a:rPr lang="ja-JP" altLang="en-US"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①所得割</a:t>
            </a:r>
            <a:endParaRPr lang="en-US" altLang="ja-JP"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endParaRPr>
          </a:p>
          <a:p>
            <a:pPr algn="ctr"/>
            <a:r>
              <a:rPr lang="ja-JP" altLang="en-US"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②均等割</a:t>
            </a:r>
            <a:endParaRPr lang="en-US" altLang="ja-JP" sz="16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endParaRPr>
          </a:p>
          <a:p>
            <a:pPr algn="ctr"/>
            <a:r>
              <a:rPr lang="ja-JP" altLang="en-US" sz="14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限度額</a:t>
            </a:r>
            <a:r>
              <a:rPr lang="en-US" altLang="ja-JP" sz="14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30,000</a:t>
            </a:r>
            <a:r>
              <a:rPr lang="ja-JP" altLang="en-US" sz="1400" b="0" i="0" u="none" strike="noStrike">
                <a:solidFill>
                  <a:schemeClr val="tx1"/>
                </a:solidFill>
                <a:effectLst/>
                <a:latin typeface="03スマートフォントUI" panose="02000600000000000000" pitchFamily="50" charset="-128"/>
                <a:ea typeface="03スマートフォントUI" panose="02000600000000000000" pitchFamily="50" charset="-128"/>
                <a:cs typeface="+mn-cs"/>
              </a:rPr>
              <a:t>円</a:t>
            </a:r>
            <a:endParaRPr kumimoji="1" lang="ja-JP" altLang="en-US" sz="1400">
              <a:solidFill>
                <a:schemeClr val="tx1"/>
              </a:solidFill>
              <a:latin typeface="03スマートフォントUI" panose="02000600000000000000" pitchFamily="50" charset="-128"/>
              <a:ea typeface="03スマートフォントUI" panose="02000600000000000000" pitchFamily="50" charset="-128"/>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5"/>
  <sheetViews>
    <sheetView tabSelected="1" view="pageBreakPreview" topLeftCell="A22" zoomScale="60" zoomScaleNormal="100" workbookViewId="0">
      <selection activeCell="B15" sqref="B15"/>
    </sheetView>
  </sheetViews>
  <sheetFormatPr defaultRowHeight="18.75" x14ac:dyDescent="0.15"/>
  <cols>
    <col min="1" max="1" width="3.875" style="30" bestFit="1" customWidth="1"/>
    <col min="2" max="6" width="17.375" style="30" customWidth="1"/>
    <col min="7" max="7" width="16.75" style="30" customWidth="1"/>
    <col min="8" max="8" width="15.625" style="30" customWidth="1"/>
    <col min="9" max="9" width="20.125" style="30" customWidth="1"/>
    <col min="10" max="10" width="12.25" style="30" bestFit="1" customWidth="1"/>
    <col min="11" max="11" width="12.25" style="30" customWidth="1"/>
    <col min="12" max="12" width="11.25" style="30" hidden="1" customWidth="1"/>
    <col min="13" max="13" width="9.25" style="30" hidden="1" customWidth="1"/>
    <col min="14" max="14" width="11.25" style="30" hidden="1" customWidth="1"/>
    <col min="15" max="15" width="12.125" style="30" customWidth="1"/>
    <col min="16" max="16" width="9" style="30"/>
    <col min="17" max="17" width="6" style="30" customWidth="1"/>
    <col min="18" max="257" width="9" style="30"/>
    <col min="258" max="258" width="3.875" style="30" bestFit="1" customWidth="1"/>
    <col min="259" max="263" width="17.375" style="30" customWidth="1"/>
    <col min="264" max="266" width="15.625" style="30" customWidth="1"/>
    <col min="267" max="267" width="10.75" style="30" customWidth="1"/>
    <col min="268" max="269" width="0" style="30" hidden="1" customWidth="1"/>
    <col min="270" max="270" width="9.375" style="30" customWidth="1"/>
    <col min="271" max="271" width="10" style="30" customWidth="1"/>
    <col min="272" max="272" width="9" style="30"/>
    <col min="273" max="273" width="6" style="30" customWidth="1"/>
    <col min="274" max="513" width="9" style="30"/>
    <col min="514" max="514" width="3.875" style="30" bestFit="1" customWidth="1"/>
    <col min="515" max="519" width="17.375" style="30" customWidth="1"/>
    <col min="520" max="522" width="15.625" style="30" customWidth="1"/>
    <col min="523" max="523" width="10.75" style="30" customWidth="1"/>
    <col min="524" max="525" width="0" style="30" hidden="1" customWidth="1"/>
    <col min="526" max="526" width="9.375" style="30" customWidth="1"/>
    <col min="527" max="527" width="10" style="30" customWidth="1"/>
    <col min="528" max="528" width="9" style="30"/>
    <col min="529" max="529" width="6" style="30" customWidth="1"/>
    <col min="530" max="769" width="9" style="30"/>
    <col min="770" max="770" width="3.875" style="30" bestFit="1" customWidth="1"/>
    <col min="771" max="775" width="17.375" style="30" customWidth="1"/>
    <col min="776" max="778" width="15.625" style="30" customWidth="1"/>
    <col min="779" max="779" width="10.75" style="30" customWidth="1"/>
    <col min="780" max="781" width="0" style="30" hidden="1" customWidth="1"/>
    <col min="782" max="782" width="9.375" style="30" customWidth="1"/>
    <col min="783" max="783" width="10" style="30" customWidth="1"/>
    <col min="784" max="784" width="9" style="30"/>
    <col min="785" max="785" width="6" style="30" customWidth="1"/>
    <col min="786" max="1025" width="9" style="30"/>
    <col min="1026" max="1026" width="3.875" style="30" bestFit="1" customWidth="1"/>
    <col min="1027" max="1031" width="17.375" style="30" customWidth="1"/>
    <col min="1032" max="1034" width="15.625" style="30" customWidth="1"/>
    <col min="1035" max="1035" width="10.75" style="30" customWidth="1"/>
    <col min="1036" max="1037" width="0" style="30" hidden="1" customWidth="1"/>
    <col min="1038" max="1038" width="9.375" style="30" customWidth="1"/>
    <col min="1039" max="1039" width="10" style="30" customWidth="1"/>
    <col min="1040" max="1040" width="9" style="30"/>
    <col min="1041" max="1041" width="6" style="30" customWidth="1"/>
    <col min="1042" max="1281" width="9" style="30"/>
    <col min="1282" max="1282" width="3.875" style="30" bestFit="1" customWidth="1"/>
    <col min="1283" max="1287" width="17.375" style="30" customWidth="1"/>
    <col min="1288" max="1290" width="15.625" style="30" customWidth="1"/>
    <col min="1291" max="1291" width="10.75" style="30" customWidth="1"/>
    <col min="1292" max="1293" width="0" style="30" hidden="1" customWidth="1"/>
    <col min="1294" max="1294" width="9.375" style="30" customWidth="1"/>
    <col min="1295" max="1295" width="10" style="30" customWidth="1"/>
    <col min="1296" max="1296" width="9" style="30"/>
    <col min="1297" max="1297" width="6" style="30" customWidth="1"/>
    <col min="1298" max="1537" width="9" style="30"/>
    <col min="1538" max="1538" width="3.875" style="30" bestFit="1" customWidth="1"/>
    <col min="1539" max="1543" width="17.375" style="30" customWidth="1"/>
    <col min="1544" max="1546" width="15.625" style="30" customWidth="1"/>
    <col min="1547" max="1547" width="10.75" style="30" customWidth="1"/>
    <col min="1548" max="1549" width="0" style="30" hidden="1" customWidth="1"/>
    <col min="1550" max="1550" width="9.375" style="30" customWidth="1"/>
    <col min="1551" max="1551" width="10" style="30" customWidth="1"/>
    <col min="1552" max="1552" width="9" style="30"/>
    <col min="1553" max="1553" width="6" style="30" customWidth="1"/>
    <col min="1554" max="1793" width="9" style="30"/>
    <col min="1794" max="1794" width="3.875" style="30" bestFit="1" customWidth="1"/>
    <col min="1795" max="1799" width="17.375" style="30" customWidth="1"/>
    <col min="1800" max="1802" width="15.625" style="30" customWidth="1"/>
    <col min="1803" max="1803" width="10.75" style="30" customWidth="1"/>
    <col min="1804" max="1805" width="0" style="30" hidden="1" customWidth="1"/>
    <col min="1806" max="1806" width="9.375" style="30" customWidth="1"/>
    <col min="1807" max="1807" width="10" style="30" customWidth="1"/>
    <col min="1808" max="1808" width="9" style="30"/>
    <col min="1809" max="1809" width="6" style="30" customWidth="1"/>
    <col min="1810" max="2049" width="9" style="30"/>
    <col min="2050" max="2050" width="3.875" style="30" bestFit="1" customWidth="1"/>
    <col min="2051" max="2055" width="17.375" style="30" customWidth="1"/>
    <col min="2056" max="2058" width="15.625" style="30" customWidth="1"/>
    <col min="2059" max="2059" width="10.75" style="30" customWidth="1"/>
    <col min="2060" max="2061" width="0" style="30" hidden="1" customWidth="1"/>
    <col min="2062" max="2062" width="9.375" style="30" customWidth="1"/>
    <col min="2063" max="2063" width="10" style="30" customWidth="1"/>
    <col min="2064" max="2064" width="9" style="30"/>
    <col min="2065" max="2065" width="6" style="30" customWidth="1"/>
    <col min="2066" max="2305" width="9" style="30"/>
    <col min="2306" max="2306" width="3.875" style="30" bestFit="1" customWidth="1"/>
    <col min="2307" max="2311" width="17.375" style="30" customWidth="1"/>
    <col min="2312" max="2314" width="15.625" style="30" customWidth="1"/>
    <col min="2315" max="2315" width="10.75" style="30" customWidth="1"/>
    <col min="2316" max="2317" width="0" style="30" hidden="1" customWidth="1"/>
    <col min="2318" max="2318" width="9.375" style="30" customWidth="1"/>
    <col min="2319" max="2319" width="10" style="30" customWidth="1"/>
    <col min="2320" max="2320" width="9" style="30"/>
    <col min="2321" max="2321" width="6" style="30" customWidth="1"/>
    <col min="2322" max="2561" width="9" style="30"/>
    <col min="2562" max="2562" width="3.875" style="30" bestFit="1" customWidth="1"/>
    <col min="2563" max="2567" width="17.375" style="30" customWidth="1"/>
    <col min="2568" max="2570" width="15.625" style="30" customWidth="1"/>
    <col min="2571" max="2571" width="10.75" style="30" customWidth="1"/>
    <col min="2572" max="2573" width="0" style="30" hidden="1" customWidth="1"/>
    <col min="2574" max="2574" width="9.375" style="30" customWidth="1"/>
    <col min="2575" max="2575" width="10" style="30" customWidth="1"/>
    <col min="2576" max="2576" width="9" style="30"/>
    <col min="2577" max="2577" width="6" style="30" customWidth="1"/>
    <col min="2578" max="2817" width="9" style="30"/>
    <col min="2818" max="2818" width="3.875" style="30" bestFit="1" customWidth="1"/>
    <col min="2819" max="2823" width="17.375" style="30" customWidth="1"/>
    <col min="2824" max="2826" width="15.625" style="30" customWidth="1"/>
    <col min="2827" max="2827" width="10.75" style="30" customWidth="1"/>
    <col min="2828" max="2829" width="0" style="30" hidden="1" customWidth="1"/>
    <col min="2830" max="2830" width="9.375" style="30" customWidth="1"/>
    <col min="2831" max="2831" width="10" style="30" customWidth="1"/>
    <col min="2832" max="2832" width="9" style="30"/>
    <col min="2833" max="2833" width="6" style="30" customWidth="1"/>
    <col min="2834" max="3073" width="9" style="30"/>
    <col min="3074" max="3074" width="3.875" style="30" bestFit="1" customWidth="1"/>
    <col min="3075" max="3079" width="17.375" style="30" customWidth="1"/>
    <col min="3080" max="3082" width="15.625" style="30" customWidth="1"/>
    <col min="3083" max="3083" width="10.75" style="30" customWidth="1"/>
    <col min="3084" max="3085" width="0" style="30" hidden="1" customWidth="1"/>
    <col min="3086" max="3086" width="9.375" style="30" customWidth="1"/>
    <col min="3087" max="3087" width="10" style="30" customWidth="1"/>
    <col min="3088" max="3088" width="9" style="30"/>
    <col min="3089" max="3089" width="6" style="30" customWidth="1"/>
    <col min="3090" max="3329" width="9" style="30"/>
    <col min="3330" max="3330" width="3.875" style="30" bestFit="1" customWidth="1"/>
    <col min="3331" max="3335" width="17.375" style="30" customWidth="1"/>
    <col min="3336" max="3338" width="15.625" style="30" customWidth="1"/>
    <col min="3339" max="3339" width="10.75" style="30" customWidth="1"/>
    <col min="3340" max="3341" width="0" style="30" hidden="1" customWidth="1"/>
    <col min="3342" max="3342" width="9.375" style="30" customWidth="1"/>
    <col min="3343" max="3343" width="10" style="30" customWidth="1"/>
    <col min="3344" max="3344" width="9" style="30"/>
    <col min="3345" max="3345" width="6" style="30" customWidth="1"/>
    <col min="3346" max="3585" width="9" style="30"/>
    <col min="3586" max="3586" width="3.875" style="30" bestFit="1" customWidth="1"/>
    <col min="3587" max="3591" width="17.375" style="30" customWidth="1"/>
    <col min="3592" max="3594" width="15.625" style="30" customWidth="1"/>
    <col min="3595" max="3595" width="10.75" style="30" customWidth="1"/>
    <col min="3596" max="3597" width="0" style="30" hidden="1" customWidth="1"/>
    <col min="3598" max="3598" width="9.375" style="30" customWidth="1"/>
    <col min="3599" max="3599" width="10" style="30" customWidth="1"/>
    <col min="3600" max="3600" width="9" style="30"/>
    <col min="3601" max="3601" width="6" style="30" customWidth="1"/>
    <col min="3602" max="3841" width="9" style="30"/>
    <col min="3842" max="3842" width="3.875" style="30" bestFit="1" customWidth="1"/>
    <col min="3843" max="3847" width="17.375" style="30" customWidth="1"/>
    <col min="3848" max="3850" width="15.625" style="30" customWidth="1"/>
    <col min="3851" max="3851" width="10.75" style="30" customWidth="1"/>
    <col min="3852" max="3853" width="0" style="30" hidden="1" customWidth="1"/>
    <col min="3854" max="3854" width="9.375" style="30" customWidth="1"/>
    <col min="3855" max="3855" width="10" style="30" customWidth="1"/>
    <col min="3856" max="3856" width="9" style="30"/>
    <col min="3857" max="3857" width="6" style="30" customWidth="1"/>
    <col min="3858" max="4097" width="9" style="30"/>
    <col min="4098" max="4098" width="3.875" style="30" bestFit="1" customWidth="1"/>
    <col min="4099" max="4103" width="17.375" style="30" customWidth="1"/>
    <col min="4104" max="4106" width="15.625" style="30" customWidth="1"/>
    <col min="4107" max="4107" width="10.75" style="30" customWidth="1"/>
    <col min="4108" max="4109" width="0" style="30" hidden="1" customWidth="1"/>
    <col min="4110" max="4110" width="9.375" style="30" customWidth="1"/>
    <col min="4111" max="4111" width="10" style="30" customWidth="1"/>
    <col min="4112" max="4112" width="9" style="30"/>
    <col min="4113" max="4113" width="6" style="30" customWidth="1"/>
    <col min="4114" max="4353" width="9" style="30"/>
    <col min="4354" max="4354" width="3.875" style="30" bestFit="1" customWidth="1"/>
    <col min="4355" max="4359" width="17.375" style="30" customWidth="1"/>
    <col min="4360" max="4362" width="15.625" style="30" customWidth="1"/>
    <col min="4363" max="4363" width="10.75" style="30" customWidth="1"/>
    <col min="4364" max="4365" width="0" style="30" hidden="1" customWidth="1"/>
    <col min="4366" max="4366" width="9.375" style="30" customWidth="1"/>
    <col min="4367" max="4367" width="10" style="30" customWidth="1"/>
    <col min="4368" max="4368" width="9" style="30"/>
    <col min="4369" max="4369" width="6" style="30" customWidth="1"/>
    <col min="4370" max="4609" width="9" style="30"/>
    <col min="4610" max="4610" width="3.875" style="30" bestFit="1" customWidth="1"/>
    <col min="4611" max="4615" width="17.375" style="30" customWidth="1"/>
    <col min="4616" max="4618" width="15.625" style="30" customWidth="1"/>
    <col min="4619" max="4619" width="10.75" style="30" customWidth="1"/>
    <col min="4620" max="4621" width="0" style="30" hidden="1" customWidth="1"/>
    <col min="4622" max="4622" width="9.375" style="30" customWidth="1"/>
    <col min="4623" max="4623" width="10" style="30" customWidth="1"/>
    <col min="4624" max="4624" width="9" style="30"/>
    <col min="4625" max="4625" width="6" style="30" customWidth="1"/>
    <col min="4626" max="4865" width="9" style="30"/>
    <col min="4866" max="4866" width="3.875" style="30" bestFit="1" customWidth="1"/>
    <col min="4867" max="4871" width="17.375" style="30" customWidth="1"/>
    <col min="4872" max="4874" width="15.625" style="30" customWidth="1"/>
    <col min="4875" max="4875" width="10.75" style="30" customWidth="1"/>
    <col min="4876" max="4877" width="0" style="30" hidden="1" customWidth="1"/>
    <col min="4878" max="4878" width="9.375" style="30" customWidth="1"/>
    <col min="4879" max="4879" width="10" style="30" customWidth="1"/>
    <col min="4880" max="4880" width="9" style="30"/>
    <col min="4881" max="4881" width="6" style="30" customWidth="1"/>
    <col min="4882" max="5121" width="9" style="30"/>
    <col min="5122" max="5122" width="3.875" style="30" bestFit="1" customWidth="1"/>
    <col min="5123" max="5127" width="17.375" style="30" customWidth="1"/>
    <col min="5128" max="5130" width="15.625" style="30" customWidth="1"/>
    <col min="5131" max="5131" width="10.75" style="30" customWidth="1"/>
    <col min="5132" max="5133" width="0" style="30" hidden="1" customWidth="1"/>
    <col min="5134" max="5134" width="9.375" style="30" customWidth="1"/>
    <col min="5135" max="5135" width="10" style="30" customWidth="1"/>
    <col min="5136" max="5136" width="9" style="30"/>
    <col min="5137" max="5137" width="6" style="30" customWidth="1"/>
    <col min="5138" max="5377" width="9" style="30"/>
    <col min="5378" max="5378" width="3.875" style="30" bestFit="1" customWidth="1"/>
    <col min="5379" max="5383" width="17.375" style="30" customWidth="1"/>
    <col min="5384" max="5386" width="15.625" style="30" customWidth="1"/>
    <col min="5387" max="5387" width="10.75" style="30" customWidth="1"/>
    <col min="5388" max="5389" width="0" style="30" hidden="1" customWidth="1"/>
    <col min="5390" max="5390" width="9.375" style="30" customWidth="1"/>
    <col min="5391" max="5391" width="10" style="30" customWidth="1"/>
    <col min="5392" max="5392" width="9" style="30"/>
    <col min="5393" max="5393" width="6" style="30" customWidth="1"/>
    <col min="5394" max="5633" width="9" style="30"/>
    <col min="5634" max="5634" width="3.875" style="30" bestFit="1" customWidth="1"/>
    <col min="5635" max="5639" width="17.375" style="30" customWidth="1"/>
    <col min="5640" max="5642" width="15.625" style="30" customWidth="1"/>
    <col min="5643" max="5643" width="10.75" style="30" customWidth="1"/>
    <col min="5644" max="5645" width="0" style="30" hidden="1" customWidth="1"/>
    <col min="5646" max="5646" width="9.375" style="30" customWidth="1"/>
    <col min="5647" max="5647" width="10" style="30" customWidth="1"/>
    <col min="5648" max="5648" width="9" style="30"/>
    <col min="5649" max="5649" width="6" style="30" customWidth="1"/>
    <col min="5650" max="5889" width="9" style="30"/>
    <col min="5890" max="5890" width="3.875" style="30" bestFit="1" customWidth="1"/>
    <col min="5891" max="5895" width="17.375" style="30" customWidth="1"/>
    <col min="5896" max="5898" width="15.625" style="30" customWidth="1"/>
    <col min="5899" max="5899" width="10.75" style="30" customWidth="1"/>
    <col min="5900" max="5901" width="0" style="30" hidden="1" customWidth="1"/>
    <col min="5902" max="5902" width="9.375" style="30" customWidth="1"/>
    <col min="5903" max="5903" width="10" style="30" customWidth="1"/>
    <col min="5904" max="5904" width="9" style="30"/>
    <col min="5905" max="5905" width="6" style="30" customWidth="1"/>
    <col min="5906" max="6145" width="9" style="30"/>
    <col min="6146" max="6146" width="3.875" style="30" bestFit="1" customWidth="1"/>
    <col min="6147" max="6151" width="17.375" style="30" customWidth="1"/>
    <col min="6152" max="6154" width="15.625" style="30" customWidth="1"/>
    <col min="6155" max="6155" width="10.75" style="30" customWidth="1"/>
    <col min="6156" max="6157" width="0" style="30" hidden="1" customWidth="1"/>
    <col min="6158" max="6158" width="9.375" style="30" customWidth="1"/>
    <col min="6159" max="6159" width="10" style="30" customWidth="1"/>
    <col min="6160" max="6160" width="9" style="30"/>
    <col min="6161" max="6161" width="6" style="30" customWidth="1"/>
    <col min="6162" max="6401" width="9" style="30"/>
    <col min="6402" max="6402" width="3.875" style="30" bestFit="1" customWidth="1"/>
    <col min="6403" max="6407" width="17.375" style="30" customWidth="1"/>
    <col min="6408" max="6410" width="15.625" style="30" customWidth="1"/>
    <col min="6411" max="6411" width="10.75" style="30" customWidth="1"/>
    <col min="6412" max="6413" width="0" style="30" hidden="1" customWidth="1"/>
    <col min="6414" max="6414" width="9.375" style="30" customWidth="1"/>
    <col min="6415" max="6415" width="10" style="30" customWidth="1"/>
    <col min="6416" max="6416" width="9" style="30"/>
    <col min="6417" max="6417" width="6" style="30" customWidth="1"/>
    <col min="6418" max="6657" width="9" style="30"/>
    <col min="6658" max="6658" width="3.875" style="30" bestFit="1" customWidth="1"/>
    <col min="6659" max="6663" width="17.375" style="30" customWidth="1"/>
    <col min="6664" max="6666" width="15.625" style="30" customWidth="1"/>
    <col min="6667" max="6667" width="10.75" style="30" customWidth="1"/>
    <col min="6668" max="6669" width="0" style="30" hidden="1" customWidth="1"/>
    <col min="6670" max="6670" width="9.375" style="30" customWidth="1"/>
    <col min="6671" max="6671" width="10" style="30" customWidth="1"/>
    <col min="6672" max="6672" width="9" style="30"/>
    <col min="6673" max="6673" width="6" style="30" customWidth="1"/>
    <col min="6674" max="6913" width="9" style="30"/>
    <col min="6914" max="6914" width="3.875" style="30" bestFit="1" customWidth="1"/>
    <col min="6915" max="6919" width="17.375" style="30" customWidth="1"/>
    <col min="6920" max="6922" width="15.625" style="30" customWidth="1"/>
    <col min="6923" max="6923" width="10.75" style="30" customWidth="1"/>
    <col min="6924" max="6925" width="0" style="30" hidden="1" customWidth="1"/>
    <col min="6926" max="6926" width="9.375" style="30" customWidth="1"/>
    <col min="6927" max="6927" width="10" style="30" customWidth="1"/>
    <col min="6928" max="6928" width="9" style="30"/>
    <col min="6929" max="6929" width="6" style="30" customWidth="1"/>
    <col min="6930" max="7169" width="9" style="30"/>
    <col min="7170" max="7170" width="3.875" style="30" bestFit="1" customWidth="1"/>
    <col min="7171" max="7175" width="17.375" style="30" customWidth="1"/>
    <col min="7176" max="7178" width="15.625" style="30" customWidth="1"/>
    <col min="7179" max="7179" width="10.75" style="30" customWidth="1"/>
    <col min="7180" max="7181" width="0" style="30" hidden="1" customWidth="1"/>
    <col min="7182" max="7182" width="9.375" style="30" customWidth="1"/>
    <col min="7183" max="7183" width="10" style="30" customWidth="1"/>
    <col min="7184" max="7184" width="9" style="30"/>
    <col min="7185" max="7185" width="6" style="30" customWidth="1"/>
    <col min="7186" max="7425" width="9" style="30"/>
    <col min="7426" max="7426" width="3.875" style="30" bestFit="1" customWidth="1"/>
    <col min="7427" max="7431" width="17.375" style="30" customWidth="1"/>
    <col min="7432" max="7434" width="15.625" style="30" customWidth="1"/>
    <col min="7435" max="7435" width="10.75" style="30" customWidth="1"/>
    <col min="7436" max="7437" width="0" style="30" hidden="1" customWidth="1"/>
    <col min="7438" max="7438" width="9.375" style="30" customWidth="1"/>
    <col min="7439" max="7439" width="10" style="30" customWidth="1"/>
    <col min="7440" max="7440" width="9" style="30"/>
    <col min="7441" max="7441" width="6" style="30" customWidth="1"/>
    <col min="7442" max="7681" width="9" style="30"/>
    <col min="7682" max="7682" width="3.875" style="30" bestFit="1" customWidth="1"/>
    <col min="7683" max="7687" width="17.375" style="30" customWidth="1"/>
    <col min="7688" max="7690" width="15.625" style="30" customWidth="1"/>
    <col min="7691" max="7691" width="10.75" style="30" customWidth="1"/>
    <col min="7692" max="7693" width="0" style="30" hidden="1" customWidth="1"/>
    <col min="7694" max="7694" width="9.375" style="30" customWidth="1"/>
    <col min="7695" max="7695" width="10" style="30" customWidth="1"/>
    <col min="7696" max="7696" width="9" style="30"/>
    <col min="7697" max="7697" width="6" style="30" customWidth="1"/>
    <col min="7698" max="7937" width="9" style="30"/>
    <col min="7938" max="7938" width="3.875" style="30" bestFit="1" customWidth="1"/>
    <col min="7939" max="7943" width="17.375" style="30" customWidth="1"/>
    <col min="7944" max="7946" width="15.625" style="30" customWidth="1"/>
    <col min="7947" max="7947" width="10.75" style="30" customWidth="1"/>
    <col min="7948" max="7949" width="0" style="30" hidden="1" customWidth="1"/>
    <col min="7950" max="7950" width="9.375" style="30" customWidth="1"/>
    <col min="7951" max="7951" width="10" style="30" customWidth="1"/>
    <col min="7952" max="7952" width="9" style="30"/>
    <col min="7953" max="7953" width="6" style="30" customWidth="1"/>
    <col min="7954" max="8193" width="9" style="30"/>
    <col min="8194" max="8194" width="3.875" style="30" bestFit="1" customWidth="1"/>
    <col min="8195" max="8199" width="17.375" style="30" customWidth="1"/>
    <col min="8200" max="8202" width="15.625" style="30" customWidth="1"/>
    <col min="8203" max="8203" width="10.75" style="30" customWidth="1"/>
    <col min="8204" max="8205" width="0" style="30" hidden="1" customWidth="1"/>
    <col min="8206" max="8206" width="9.375" style="30" customWidth="1"/>
    <col min="8207" max="8207" width="10" style="30" customWidth="1"/>
    <col min="8208" max="8208" width="9" style="30"/>
    <col min="8209" max="8209" width="6" style="30" customWidth="1"/>
    <col min="8210" max="8449" width="9" style="30"/>
    <col min="8450" max="8450" width="3.875" style="30" bestFit="1" customWidth="1"/>
    <col min="8451" max="8455" width="17.375" style="30" customWidth="1"/>
    <col min="8456" max="8458" width="15.625" style="30" customWidth="1"/>
    <col min="8459" max="8459" width="10.75" style="30" customWidth="1"/>
    <col min="8460" max="8461" width="0" style="30" hidden="1" customWidth="1"/>
    <col min="8462" max="8462" width="9.375" style="30" customWidth="1"/>
    <col min="8463" max="8463" width="10" style="30" customWidth="1"/>
    <col min="8464" max="8464" width="9" style="30"/>
    <col min="8465" max="8465" width="6" style="30" customWidth="1"/>
    <col min="8466" max="8705" width="9" style="30"/>
    <col min="8706" max="8706" width="3.875" style="30" bestFit="1" customWidth="1"/>
    <col min="8707" max="8711" width="17.375" style="30" customWidth="1"/>
    <col min="8712" max="8714" width="15.625" style="30" customWidth="1"/>
    <col min="8715" max="8715" width="10.75" style="30" customWidth="1"/>
    <col min="8716" max="8717" width="0" style="30" hidden="1" customWidth="1"/>
    <col min="8718" max="8718" width="9.375" style="30" customWidth="1"/>
    <col min="8719" max="8719" width="10" style="30" customWidth="1"/>
    <col min="8720" max="8720" width="9" style="30"/>
    <col min="8721" max="8721" width="6" style="30" customWidth="1"/>
    <col min="8722" max="8961" width="9" style="30"/>
    <col min="8962" max="8962" width="3.875" style="30" bestFit="1" customWidth="1"/>
    <col min="8963" max="8967" width="17.375" style="30" customWidth="1"/>
    <col min="8968" max="8970" width="15.625" style="30" customWidth="1"/>
    <col min="8971" max="8971" width="10.75" style="30" customWidth="1"/>
    <col min="8972" max="8973" width="0" style="30" hidden="1" customWidth="1"/>
    <col min="8974" max="8974" width="9.375" style="30" customWidth="1"/>
    <col min="8975" max="8975" width="10" style="30" customWidth="1"/>
    <col min="8976" max="8976" width="9" style="30"/>
    <col min="8977" max="8977" width="6" style="30" customWidth="1"/>
    <col min="8978" max="9217" width="9" style="30"/>
    <col min="9218" max="9218" width="3.875" style="30" bestFit="1" customWidth="1"/>
    <col min="9219" max="9223" width="17.375" style="30" customWidth="1"/>
    <col min="9224" max="9226" width="15.625" style="30" customWidth="1"/>
    <col min="9227" max="9227" width="10.75" style="30" customWidth="1"/>
    <col min="9228" max="9229" width="0" style="30" hidden="1" customWidth="1"/>
    <col min="9230" max="9230" width="9.375" style="30" customWidth="1"/>
    <col min="9231" max="9231" width="10" style="30" customWidth="1"/>
    <col min="9232" max="9232" width="9" style="30"/>
    <col min="9233" max="9233" width="6" style="30" customWidth="1"/>
    <col min="9234" max="9473" width="9" style="30"/>
    <col min="9474" max="9474" width="3.875" style="30" bestFit="1" customWidth="1"/>
    <col min="9475" max="9479" width="17.375" style="30" customWidth="1"/>
    <col min="9480" max="9482" width="15.625" style="30" customWidth="1"/>
    <col min="9483" max="9483" width="10.75" style="30" customWidth="1"/>
    <col min="9484" max="9485" width="0" style="30" hidden="1" customWidth="1"/>
    <col min="9486" max="9486" width="9.375" style="30" customWidth="1"/>
    <col min="9487" max="9487" width="10" style="30" customWidth="1"/>
    <col min="9488" max="9488" width="9" style="30"/>
    <col min="9489" max="9489" width="6" style="30" customWidth="1"/>
    <col min="9490" max="9729" width="9" style="30"/>
    <col min="9730" max="9730" width="3.875" style="30" bestFit="1" customWidth="1"/>
    <col min="9731" max="9735" width="17.375" style="30" customWidth="1"/>
    <col min="9736" max="9738" width="15.625" style="30" customWidth="1"/>
    <col min="9739" max="9739" width="10.75" style="30" customWidth="1"/>
    <col min="9740" max="9741" width="0" style="30" hidden="1" customWidth="1"/>
    <col min="9742" max="9742" width="9.375" style="30" customWidth="1"/>
    <col min="9743" max="9743" width="10" style="30" customWidth="1"/>
    <col min="9744" max="9744" width="9" style="30"/>
    <col min="9745" max="9745" width="6" style="30" customWidth="1"/>
    <col min="9746" max="9985" width="9" style="30"/>
    <col min="9986" max="9986" width="3.875" style="30" bestFit="1" customWidth="1"/>
    <col min="9987" max="9991" width="17.375" style="30" customWidth="1"/>
    <col min="9992" max="9994" width="15.625" style="30" customWidth="1"/>
    <col min="9995" max="9995" width="10.75" style="30" customWidth="1"/>
    <col min="9996" max="9997" width="0" style="30" hidden="1" customWidth="1"/>
    <col min="9998" max="9998" width="9.375" style="30" customWidth="1"/>
    <col min="9999" max="9999" width="10" style="30" customWidth="1"/>
    <col min="10000" max="10000" width="9" style="30"/>
    <col min="10001" max="10001" width="6" style="30" customWidth="1"/>
    <col min="10002" max="10241" width="9" style="30"/>
    <col min="10242" max="10242" width="3.875" style="30" bestFit="1" customWidth="1"/>
    <col min="10243" max="10247" width="17.375" style="30" customWidth="1"/>
    <col min="10248" max="10250" width="15.625" style="30" customWidth="1"/>
    <col min="10251" max="10251" width="10.75" style="30" customWidth="1"/>
    <col min="10252" max="10253" width="0" style="30" hidden="1" customWidth="1"/>
    <col min="10254" max="10254" width="9.375" style="30" customWidth="1"/>
    <col min="10255" max="10255" width="10" style="30" customWidth="1"/>
    <col min="10256" max="10256" width="9" style="30"/>
    <col min="10257" max="10257" width="6" style="30" customWidth="1"/>
    <col min="10258" max="10497" width="9" style="30"/>
    <col min="10498" max="10498" width="3.875" style="30" bestFit="1" customWidth="1"/>
    <col min="10499" max="10503" width="17.375" style="30" customWidth="1"/>
    <col min="10504" max="10506" width="15.625" style="30" customWidth="1"/>
    <col min="10507" max="10507" width="10.75" style="30" customWidth="1"/>
    <col min="10508" max="10509" width="0" style="30" hidden="1" customWidth="1"/>
    <col min="10510" max="10510" width="9.375" style="30" customWidth="1"/>
    <col min="10511" max="10511" width="10" style="30" customWidth="1"/>
    <col min="10512" max="10512" width="9" style="30"/>
    <col min="10513" max="10513" width="6" style="30" customWidth="1"/>
    <col min="10514" max="10753" width="9" style="30"/>
    <col min="10754" max="10754" width="3.875" style="30" bestFit="1" customWidth="1"/>
    <col min="10755" max="10759" width="17.375" style="30" customWidth="1"/>
    <col min="10760" max="10762" width="15.625" style="30" customWidth="1"/>
    <col min="10763" max="10763" width="10.75" style="30" customWidth="1"/>
    <col min="10764" max="10765" width="0" style="30" hidden="1" customWidth="1"/>
    <col min="10766" max="10766" width="9.375" style="30" customWidth="1"/>
    <col min="10767" max="10767" width="10" style="30" customWidth="1"/>
    <col min="10768" max="10768" width="9" style="30"/>
    <col min="10769" max="10769" width="6" style="30" customWidth="1"/>
    <col min="10770" max="11009" width="9" style="30"/>
    <col min="11010" max="11010" width="3.875" style="30" bestFit="1" customWidth="1"/>
    <col min="11011" max="11015" width="17.375" style="30" customWidth="1"/>
    <col min="11016" max="11018" width="15.625" style="30" customWidth="1"/>
    <col min="11019" max="11019" width="10.75" style="30" customWidth="1"/>
    <col min="11020" max="11021" width="0" style="30" hidden="1" customWidth="1"/>
    <col min="11022" max="11022" width="9.375" style="30" customWidth="1"/>
    <col min="11023" max="11023" width="10" style="30" customWidth="1"/>
    <col min="11024" max="11024" width="9" style="30"/>
    <col min="11025" max="11025" width="6" style="30" customWidth="1"/>
    <col min="11026" max="11265" width="9" style="30"/>
    <col min="11266" max="11266" width="3.875" style="30" bestFit="1" customWidth="1"/>
    <col min="11267" max="11271" width="17.375" style="30" customWidth="1"/>
    <col min="11272" max="11274" width="15.625" style="30" customWidth="1"/>
    <col min="11275" max="11275" width="10.75" style="30" customWidth="1"/>
    <col min="11276" max="11277" width="0" style="30" hidden="1" customWidth="1"/>
    <col min="11278" max="11278" width="9.375" style="30" customWidth="1"/>
    <col min="11279" max="11279" width="10" style="30" customWidth="1"/>
    <col min="11280" max="11280" width="9" style="30"/>
    <col min="11281" max="11281" width="6" style="30" customWidth="1"/>
    <col min="11282" max="11521" width="9" style="30"/>
    <col min="11522" max="11522" width="3.875" style="30" bestFit="1" customWidth="1"/>
    <col min="11523" max="11527" width="17.375" style="30" customWidth="1"/>
    <col min="11528" max="11530" width="15.625" style="30" customWidth="1"/>
    <col min="11531" max="11531" width="10.75" style="30" customWidth="1"/>
    <col min="11532" max="11533" width="0" style="30" hidden="1" customWidth="1"/>
    <col min="11534" max="11534" width="9.375" style="30" customWidth="1"/>
    <col min="11535" max="11535" width="10" style="30" customWidth="1"/>
    <col min="11536" max="11536" width="9" style="30"/>
    <col min="11537" max="11537" width="6" style="30" customWidth="1"/>
    <col min="11538" max="11777" width="9" style="30"/>
    <col min="11778" max="11778" width="3.875" style="30" bestFit="1" customWidth="1"/>
    <col min="11779" max="11783" width="17.375" style="30" customWidth="1"/>
    <col min="11784" max="11786" width="15.625" style="30" customWidth="1"/>
    <col min="11787" max="11787" width="10.75" style="30" customWidth="1"/>
    <col min="11788" max="11789" width="0" style="30" hidden="1" customWidth="1"/>
    <col min="11790" max="11790" width="9.375" style="30" customWidth="1"/>
    <col min="11791" max="11791" width="10" style="30" customWidth="1"/>
    <col min="11792" max="11792" width="9" style="30"/>
    <col min="11793" max="11793" width="6" style="30" customWidth="1"/>
    <col min="11794" max="12033" width="9" style="30"/>
    <col min="12034" max="12034" width="3.875" style="30" bestFit="1" customWidth="1"/>
    <col min="12035" max="12039" width="17.375" style="30" customWidth="1"/>
    <col min="12040" max="12042" width="15.625" style="30" customWidth="1"/>
    <col min="12043" max="12043" width="10.75" style="30" customWidth="1"/>
    <col min="12044" max="12045" width="0" style="30" hidden="1" customWidth="1"/>
    <col min="12046" max="12046" width="9.375" style="30" customWidth="1"/>
    <col min="12047" max="12047" width="10" style="30" customWidth="1"/>
    <col min="12048" max="12048" width="9" style="30"/>
    <col min="12049" max="12049" width="6" style="30" customWidth="1"/>
    <col min="12050" max="12289" width="9" style="30"/>
    <col min="12290" max="12290" width="3.875" style="30" bestFit="1" customWidth="1"/>
    <col min="12291" max="12295" width="17.375" style="30" customWidth="1"/>
    <col min="12296" max="12298" width="15.625" style="30" customWidth="1"/>
    <col min="12299" max="12299" width="10.75" style="30" customWidth="1"/>
    <col min="12300" max="12301" width="0" style="30" hidden="1" customWidth="1"/>
    <col min="12302" max="12302" width="9.375" style="30" customWidth="1"/>
    <col min="12303" max="12303" width="10" style="30" customWidth="1"/>
    <col min="12304" max="12304" width="9" style="30"/>
    <col min="12305" max="12305" width="6" style="30" customWidth="1"/>
    <col min="12306" max="12545" width="9" style="30"/>
    <col min="12546" max="12546" width="3.875" style="30" bestFit="1" customWidth="1"/>
    <col min="12547" max="12551" width="17.375" style="30" customWidth="1"/>
    <col min="12552" max="12554" width="15.625" style="30" customWidth="1"/>
    <col min="12555" max="12555" width="10.75" style="30" customWidth="1"/>
    <col min="12556" max="12557" width="0" style="30" hidden="1" customWidth="1"/>
    <col min="12558" max="12558" width="9.375" style="30" customWidth="1"/>
    <col min="12559" max="12559" width="10" style="30" customWidth="1"/>
    <col min="12560" max="12560" width="9" style="30"/>
    <col min="12561" max="12561" width="6" style="30" customWidth="1"/>
    <col min="12562" max="12801" width="9" style="30"/>
    <col min="12802" max="12802" width="3.875" style="30" bestFit="1" customWidth="1"/>
    <col min="12803" max="12807" width="17.375" style="30" customWidth="1"/>
    <col min="12808" max="12810" width="15.625" style="30" customWidth="1"/>
    <col min="12811" max="12811" width="10.75" style="30" customWidth="1"/>
    <col min="12812" max="12813" width="0" style="30" hidden="1" customWidth="1"/>
    <col min="12814" max="12814" width="9.375" style="30" customWidth="1"/>
    <col min="12815" max="12815" width="10" style="30" customWidth="1"/>
    <col min="12816" max="12816" width="9" style="30"/>
    <col min="12817" max="12817" width="6" style="30" customWidth="1"/>
    <col min="12818" max="13057" width="9" style="30"/>
    <col min="13058" max="13058" width="3.875" style="30" bestFit="1" customWidth="1"/>
    <col min="13059" max="13063" width="17.375" style="30" customWidth="1"/>
    <col min="13064" max="13066" width="15.625" style="30" customWidth="1"/>
    <col min="13067" max="13067" width="10.75" style="30" customWidth="1"/>
    <col min="13068" max="13069" width="0" style="30" hidden="1" customWidth="1"/>
    <col min="13070" max="13070" width="9.375" style="30" customWidth="1"/>
    <col min="13071" max="13071" width="10" style="30" customWidth="1"/>
    <col min="13072" max="13072" width="9" style="30"/>
    <col min="13073" max="13073" width="6" style="30" customWidth="1"/>
    <col min="13074" max="13313" width="9" style="30"/>
    <col min="13314" max="13314" width="3.875" style="30" bestFit="1" customWidth="1"/>
    <col min="13315" max="13319" width="17.375" style="30" customWidth="1"/>
    <col min="13320" max="13322" width="15.625" style="30" customWidth="1"/>
    <col min="13323" max="13323" width="10.75" style="30" customWidth="1"/>
    <col min="13324" max="13325" width="0" style="30" hidden="1" customWidth="1"/>
    <col min="13326" max="13326" width="9.375" style="30" customWidth="1"/>
    <col min="13327" max="13327" width="10" style="30" customWidth="1"/>
    <col min="13328" max="13328" width="9" style="30"/>
    <col min="13329" max="13329" width="6" style="30" customWidth="1"/>
    <col min="13330" max="13569" width="9" style="30"/>
    <col min="13570" max="13570" width="3.875" style="30" bestFit="1" customWidth="1"/>
    <col min="13571" max="13575" width="17.375" style="30" customWidth="1"/>
    <col min="13576" max="13578" width="15.625" style="30" customWidth="1"/>
    <col min="13579" max="13579" width="10.75" style="30" customWidth="1"/>
    <col min="13580" max="13581" width="0" style="30" hidden="1" customWidth="1"/>
    <col min="13582" max="13582" width="9.375" style="30" customWidth="1"/>
    <col min="13583" max="13583" width="10" style="30" customWidth="1"/>
    <col min="13584" max="13584" width="9" style="30"/>
    <col min="13585" max="13585" width="6" style="30" customWidth="1"/>
    <col min="13586" max="13825" width="9" style="30"/>
    <col min="13826" max="13826" width="3.875" style="30" bestFit="1" customWidth="1"/>
    <col min="13827" max="13831" width="17.375" style="30" customWidth="1"/>
    <col min="13832" max="13834" width="15.625" style="30" customWidth="1"/>
    <col min="13835" max="13835" width="10.75" style="30" customWidth="1"/>
    <col min="13836" max="13837" width="0" style="30" hidden="1" customWidth="1"/>
    <col min="13838" max="13838" width="9.375" style="30" customWidth="1"/>
    <col min="13839" max="13839" width="10" style="30" customWidth="1"/>
    <col min="13840" max="13840" width="9" style="30"/>
    <col min="13841" max="13841" width="6" style="30" customWidth="1"/>
    <col min="13842" max="14081" width="9" style="30"/>
    <col min="14082" max="14082" width="3.875" style="30" bestFit="1" customWidth="1"/>
    <col min="14083" max="14087" width="17.375" style="30" customWidth="1"/>
    <col min="14088" max="14090" width="15.625" style="30" customWidth="1"/>
    <col min="14091" max="14091" width="10.75" style="30" customWidth="1"/>
    <col min="14092" max="14093" width="0" style="30" hidden="1" customWidth="1"/>
    <col min="14094" max="14094" width="9.375" style="30" customWidth="1"/>
    <col min="14095" max="14095" width="10" style="30" customWidth="1"/>
    <col min="14096" max="14096" width="9" style="30"/>
    <col min="14097" max="14097" width="6" style="30" customWidth="1"/>
    <col min="14098" max="14337" width="9" style="30"/>
    <col min="14338" max="14338" width="3.875" style="30" bestFit="1" customWidth="1"/>
    <col min="14339" max="14343" width="17.375" style="30" customWidth="1"/>
    <col min="14344" max="14346" width="15.625" style="30" customWidth="1"/>
    <col min="14347" max="14347" width="10.75" style="30" customWidth="1"/>
    <col min="14348" max="14349" width="0" style="30" hidden="1" customWidth="1"/>
    <col min="14350" max="14350" width="9.375" style="30" customWidth="1"/>
    <col min="14351" max="14351" width="10" style="30" customWidth="1"/>
    <col min="14352" max="14352" width="9" style="30"/>
    <col min="14353" max="14353" width="6" style="30" customWidth="1"/>
    <col min="14354" max="14593" width="9" style="30"/>
    <col min="14594" max="14594" width="3.875" style="30" bestFit="1" customWidth="1"/>
    <col min="14595" max="14599" width="17.375" style="30" customWidth="1"/>
    <col min="14600" max="14602" width="15.625" style="30" customWidth="1"/>
    <col min="14603" max="14603" width="10.75" style="30" customWidth="1"/>
    <col min="14604" max="14605" width="0" style="30" hidden="1" customWidth="1"/>
    <col min="14606" max="14606" width="9.375" style="30" customWidth="1"/>
    <col min="14607" max="14607" width="10" style="30" customWidth="1"/>
    <col min="14608" max="14608" width="9" style="30"/>
    <col min="14609" max="14609" width="6" style="30" customWidth="1"/>
    <col min="14610" max="14849" width="9" style="30"/>
    <col min="14850" max="14850" width="3.875" style="30" bestFit="1" customWidth="1"/>
    <col min="14851" max="14855" width="17.375" style="30" customWidth="1"/>
    <col min="14856" max="14858" width="15.625" style="30" customWidth="1"/>
    <col min="14859" max="14859" width="10.75" style="30" customWidth="1"/>
    <col min="14860" max="14861" width="0" style="30" hidden="1" customWidth="1"/>
    <col min="14862" max="14862" width="9.375" style="30" customWidth="1"/>
    <col min="14863" max="14863" width="10" style="30" customWidth="1"/>
    <col min="14864" max="14864" width="9" style="30"/>
    <col min="14865" max="14865" width="6" style="30" customWidth="1"/>
    <col min="14866" max="15105" width="9" style="30"/>
    <col min="15106" max="15106" width="3.875" style="30" bestFit="1" customWidth="1"/>
    <col min="15107" max="15111" width="17.375" style="30" customWidth="1"/>
    <col min="15112" max="15114" width="15.625" style="30" customWidth="1"/>
    <col min="15115" max="15115" width="10.75" style="30" customWidth="1"/>
    <col min="15116" max="15117" width="0" style="30" hidden="1" customWidth="1"/>
    <col min="15118" max="15118" width="9.375" style="30" customWidth="1"/>
    <col min="15119" max="15119" width="10" style="30" customWidth="1"/>
    <col min="15120" max="15120" width="9" style="30"/>
    <col min="15121" max="15121" width="6" style="30" customWidth="1"/>
    <col min="15122" max="15361" width="9" style="30"/>
    <col min="15362" max="15362" width="3.875" style="30" bestFit="1" customWidth="1"/>
    <col min="15363" max="15367" width="17.375" style="30" customWidth="1"/>
    <col min="15368" max="15370" width="15.625" style="30" customWidth="1"/>
    <col min="15371" max="15371" width="10.75" style="30" customWidth="1"/>
    <col min="15372" max="15373" width="0" style="30" hidden="1" customWidth="1"/>
    <col min="15374" max="15374" width="9.375" style="30" customWidth="1"/>
    <col min="15375" max="15375" width="10" style="30" customWidth="1"/>
    <col min="15376" max="15376" width="9" style="30"/>
    <col min="15377" max="15377" width="6" style="30" customWidth="1"/>
    <col min="15378" max="15617" width="9" style="30"/>
    <col min="15618" max="15618" width="3.875" style="30" bestFit="1" customWidth="1"/>
    <col min="15619" max="15623" width="17.375" style="30" customWidth="1"/>
    <col min="15624" max="15626" width="15.625" style="30" customWidth="1"/>
    <col min="15627" max="15627" width="10.75" style="30" customWidth="1"/>
    <col min="15628" max="15629" width="0" style="30" hidden="1" customWidth="1"/>
    <col min="15630" max="15630" width="9.375" style="30" customWidth="1"/>
    <col min="15631" max="15631" width="10" style="30" customWidth="1"/>
    <col min="15632" max="15632" width="9" style="30"/>
    <col min="15633" max="15633" width="6" style="30" customWidth="1"/>
    <col min="15634" max="15873" width="9" style="30"/>
    <col min="15874" max="15874" width="3.875" style="30" bestFit="1" customWidth="1"/>
    <col min="15875" max="15879" width="17.375" style="30" customWidth="1"/>
    <col min="15880" max="15882" width="15.625" style="30" customWidth="1"/>
    <col min="15883" max="15883" width="10.75" style="30" customWidth="1"/>
    <col min="15884" max="15885" width="0" style="30" hidden="1" customWidth="1"/>
    <col min="15886" max="15886" width="9.375" style="30" customWidth="1"/>
    <col min="15887" max="15887" width="10" style="30" customWidth="1"/>
    <col min="15888" max="15888" width="9" style="30"/>
    <col min="15889" max="15889" width="6" style="30" customWidth="1"/>
    <col min="15890" max="16129" width="9" style="30"/>
    <col min="16130" max="16130" width="3.875" style="30" bestFit="1" customWidth="1"/>
    <col min="16131" max="16135" width="17.375" style="30" customWidth="1"/>
    <col min="16136" max="16138" width="15.625" style="30" customWidth="1"/>
    <col min="16139" max="16139" width="10.75" style="30" customWidth="1"/>
    <col min="16140" max="16141" width="0" style="30" hidden="1" customWidth="1"/>
    <col min="16142" max="16142" width="9.375" style="30" customWidth="1"/>
    <col min="16143" max="16143" width="10" style="30" customWidth="1"/>
    <col min="16144" max="16144" width="9" style="30"/>
    <col min="16145" max="16145" width="6" style="30" customWidth="1"/>
    <col min="16146" max="16384" width="9" style="30"/>
  </cols>
  <sheetData>
    <row r="1" spans="1:14" ht="35.25" x14ac:dyDescent="0.15">
      <c r="B1" s="184" t="s">
        <v>102</v>
      </c>
      <c r="C1" s="184"/>
      <c r="D1" s="184"/>
      <c r="E1" s="184"/>
    </row>
    <row r="2" spans="1:14" ht="7.5" customHeight="1" x14ac:dyDescent="0.15"/>
    <row r="3" spans="1:14" ht="22.5" customHeight="1" x14ac:dyDescent="0.15">
      <c r="A3" s="31" t="s">
        <v>39</v>
      </c>
      <c r="B3" s="32" t="s">
        <v>50</v>
      </c>
      <c r="C3" s="33"/>
      <c r="D3" s="33"/>
      <c r="E3" s="33"/>
      <c r="F3" s="33"/>
      <c r="G3" s="33"/>
      <c r="H3" s="33"/>
      <c r="I3" s="33"/>
      <c r="J3" s="33"/>
      <c r="K3" s="33"/>
    </row>
    <row r="4" spans="1:14" ht="26.25" customHeight="1" x14ac:dyDescent="0.15">
      <c r="A4" s="34"/>
      <c r="B4" s="35"/>
      <c r="C4" s="97" t="s">
        <v>13</v>
      </c>
      <c r="D4" s="97" t="s">
        <v>14</v>
      </c>
      <c r="E4" s="97" t="s">
        <v>83</v>
      </c>
      <c r="F4" s="97" t="s">
        <v>84</v>
      </c>
      <c r="G4" s="97" t="s">
        <v>85</v>
      </c>
      <c r="H4" s="104" t="s">
        <v>90</v>
      </c>
      <c r="I4" s="97" t="s">
        <v>86</v>
      </c>
      <c r="L4" s="36" t="s">
        <v>15</v>
      </c>
      <c r="M4" s="36" t="s">
        <v>16</v>
      </c>
      <c r="N4" s="36" t="s">
        <v>94</v>
      </c>
    </row>
    <row r="5" spans="1:14" ht="26.25" customHeight="1" x14ac:dyDescent="0.15">
      <c r="A5" s="34"/>
      <c r="B5" s="35">
        <v>1</v>
      </c>
      <c r="C5" s="95"/>
      <c r="D5" s="96"/>
      <c r="E5" s="107"/>
      <c r="F5" s="107"/>
      <c r="G5" s="117"/>
      <c r="H5" s="105">
        <f>IF(AND(E5&lt;&gt;"",F5&lt;&gt;""),MAX(MIN(E5,100000)+MIN(F5,100000)-100000,0),0)</f>
        <v>0</v>
      </c>
      <c r="I5" s="102">
        <f>IFERROR(IF(E5+F5+G5-H5&gt;0,E5+F5+G5-H5,0),"")</f>
        <v>0</v>
      </c>
      <c r="J5" s="37" t="str">
        <f>IF(COUNTA(C5:G5)=0,"",((IF(AND(C5&lt;&gt;"",D5&lt;&gt;""),"OK","すべて入力してください"))))</f>
        <v/>
      </c>
      <c r="K5" s="37"/>
      <c r="L5" s="98" t="str">
        <f t="shared" ref="L5:L12" si="0">IF(C5="","",IF((I5-430000)&lt;0,0,IF(I5&lt;=24000000,I5-430000,IF(AND(I5&gt;24000000,I5&lt;=24500000),I5-290000,IF(AND(I5&gt;24500000,I5&lt;=25000000),I5-150000,I5)))))</f>
        <v/>
      </c>
      <c r="M5" s="36" t="str">
        <f t="shared" ref="M5:M12" si="1">IF(D5="","",IF(AND(D5&gt;=40,D5&lt;65),"該当","非該当"))</f>
        <v/>
      </c>
      <c r="N5" s="119">
        <f>IF(AND(D5&gt;=65,F5&gt;0),MIN(F5,150000),0)</f>
        <v>0</v>
      </c>
    </row>
    <row r="6" spans="1:14" ht="26.25" customHeight="1" x14ac:dyDescent="0.15">
      <c r="A6" s="34"/>
      <c r="B6" s="35">
        <v>2</v>
      </c>
      <c r="C6" s="95"/>
      <c r="D6" s="96"/>
      <c r="E6" s="107"/>
      <c r="F6" s="107"/>
      <c r="G6" s="117"/>
      <c r="H6" s="105">
        <f>IF(AND(E6&lt;&gt;"",F6&lt;&gt;""),MAX(MIN(E6,100000)+MIN(F6,100000)-100000,0),0)</f>
        <v>0</v>
      </c>
      <c r="I6" s="102">
        <f t="shared" ref="I6:I12" si="2">IFERROR(IF(E6+F6+G6-H6&gt;0,E6+F6+G6-H6,0),"")</f>
        <v>0</v>
      </c>
      <c r="J6" s="37" t="str">
        <f t="shared" ref="J6:J12" si="3">IF(COUNTA(C6:G6)=0,"",((IF(AND(C6&lt;&gt;"",D6&lt;&gt;""),"OK","すべて入力してください"))))</f>
        <v/>
      </c>
      <c r="K6" s="37"/>
      <c r="L6" s="98" t="str">
        <f t="shared" si="0"/>
        <v/>
      </c>
      <c r="M6" s="36" t="str">
        <f t="shared" si="1"/>
        <v/>
      </c>
      <c r="N6" s="119">
        <f>IF(AND(D6&gt;=65,F6&gt;0),MIN(F6,150000),0)</f>
        <v>0</v>
      </c>
    </row>
    <row r="7" spans="1:14" ht="26.25" customHeight="1" x14ac:dyDescent="0.15">
      <c r="A7" s="34"/>
      <c r="B7" s="35">
        <v>3</v>
      </c>
      <c r="C7" s="95"/>
      <c r="D7" s="96"/>
      <c r="E7" s="107"/>
      <c r="F7" s="107"/>
      <c r="G7" s="117"/>
      <c r="H7" s="105">
        <f t="shared" ref="H7:H12" si="4">IF(AND(E7&lt;&gt;"",F7&lt;&gt;""),MAX(MIN(E7,100000)+MIN(F7,100000)-100000,0),0)</f>
        <v>0</v>
      </c>
      <c r="I7" s="102">
        <f t="shared" si="2"/>
        <v>0</v>
      </c>
      <c r="J7" s="37" t="str">
        <f t="shared" si="3"/>
        <v/>
      </c>
      <c r="K7" s="37"/>
      <c r="L7" s="98" t="str">
        <f t="shared" si="0"/>
        <v/>
      </c>
      <c r="M7" s="36" t="str">
        <f t="shared" si="1"/>
        <v/>
      </c>
      <c r="N7" s="119">
        <f t="shared" ref="N7:N12" si="5">IF(AND(D7&gt;65,F7&gt;0),MIN(F7,150000),0)</f>
        <v>0</v>
      </c>
    </row>
    <row r="8" spans="1:14" ht="26.25" customHeight="1" x14ac:dyDescent="0.15">
      <c r="A8" s="34"/>
      <c r="B8" s="35">
        <v>4</v>
      </c>
      <c r="C8" s="95"/>
      <c r="D8" s="96"/>
      <c r="E8" s="107"/>
      <c r="F8" s="107"/>
      <c r="G8" s="117"/>
      <c r="H8" s="105">
        <f t="shared" si="4"/>
        <v>0</v>
      </c>
      <c r="I8" s="102">
        <f t="shared" si="2"/>
        <v>0</v>
      </c>
      <c r="J8" s="37" t="str">
        <f t="shared" si="3"/>
        <v/>
      </c>
      <c r="K8" s="37"/>
      <c r="L8" s="98" t="str">
        <f t="shared" si="0"/>
        <v/>
      </c>
      <c r="M8" s="36" t="str">
        <f t="shared" si="1"/>
        <v/>
      </c>
      <c r="N8" s="119">
        <f t="shared" si="5"/>
        <v>0</v>
      </c>
    </row>
    <row r="9" spans="1:14" ht="26.25" customHeight="1" x14ac:dyDescent="0.15">
      <c r="A9" s="34"/>
      <c r="B9" s="35">
        <v>5</v>
      </c>
      <c r="C9" s="95"/>
      <c r="D9" s="96"/>
      <c r="E9" s="107"/>
      <c r="F9" s="107"/>
      <c r="G9" s="117"/>
      <c r="H9" s="105">
        <f t="shared" si="4"/>
        <v>0</v>
      </c>
      <c r="I9" s="102">
        <f t="shared" si="2"/>
        <v>0</v>
      </c>
      <c r="J9" s="37" t="str">
        <f t="shared" si="3"/>
        <v/>
      </c>
      <c r="K9" s="37"/>
      <c r="L9" s="98" t="str">
        <f t="shared" si="0"/>
        <v/>
      </c>
      <c r="M9" s="36" t="str">
        <f t="shared" si="1"/>
        <v/>
      </c>
      <c r="N9" s="119">
        <f t="shared" si="5"/>
        <v>0</v>
      </c>
    </row>
    <row r="10" spans="1:14" ht="26.25" customHeight="1" x14ac:dyDescent="0.15">
      <c r="A10" s="34"/>
      <c r="B10" s="35">
        <v>6</v>
      </c>
      <c r="C10" s="95"/>
      <c r="D10" s="96"/>
      <c r="E10" s="107"/>
      <c r="F10" s="107"/>
      <c r="G10" s="117"/>
      <c r="H10" s="105">
        <f t="shared" si="4"/>
        <v>0</v>
      </c>
      <c r="I10" s="102">
        <f t="shared" si="2"/>
        <v>0</v>
      </c>
      <c r="J10" s="37" t="str">
        <f t="shared" si="3"/>
        <v/>
      </c>
      <c r="K10" s="37"/>
      <c r="L10" s="98" t="str">
        <f t="shared" si="0"/>
        <v/>
      </c>
      <c r="M10" s="36" t="str">
        <f t="shared" si="1"/>
        <v/>
      </c>
      <c r="N10" s="119">
        <f t="shared" si="5"/>
        <v>0</v>
      </c>
    </row>
    <row r="11" spans="1:14" ht="26.25" customHeight="1" x14ac:dyDescent="0.15">
      <c r="A11" s="34"/>
      <c r="B11" s="35">
        <v>7</v>
      </c>
      <c r="C11" s="95"/>
      <c r="D11" s="96"/>
      <c r="E11" s="107"/>
      <c r="F11" s="115"/>
      <c r="G11" s="117"/>
      <c r="H11" s="105">
        <f t="shared" si="4"/>
        <v>0</v>
      </c>
      <c r="I11" s="102">
        <f t="shared" si="2"/>
        <v>0</v>
      </c>
      <c r="J11" s="37" t="str">
        <f t="shared" si="3"/>
        <v/>
      </c>
      <c r="K11" s="37"/>
      <c r="L11" s="98" t="str">
        <f t="shared" si="0"/>
        <v/>
      </c>
      <c r="M11" s="36" t="str">
        <f t="shared" si="1"/>
        <v/>
      </c>
      <c r="N11" s="119">
        <f t="shared" si="5"/>
        <v>0</v>
      </c>
    </row>
    <row r="12" spans="1:14" ht="26.25" customHeight="1" x14ac:dyDescent="0.15">
      <c r="A12" s="34"/>
      <c r="B12" s="35">
        <v>8</v>
      </c>
      <c r="C12" s="95"/>
      <c r="D12" s="96"/>
      <c r="E12" s="107"/>
      <c r="F12" s="107"/>
      <c r="G12" s="117"/>
      <c r="H12" s="105">
        <f t="shared" si="4"/>
        <v>0</v>
      </c>
      <c r="I12" s="102">
        <f t="shared" si="2"/>
        <v>0</v>
      </c>
      <c r="J12" s="37" t="str">
        <f t="shared" si="3"/>
        <v/>
      </c>
      <c r="K12" s="37"/>
      <c r="L12" s="98" t="str">
        <f t="shared" si="0"/>
        <v/>
      </c>
      <c r="M12" s="36" t="str">
        <f t="shared" si="1"/>
        <v/>
      </c>
      <c r="N12" s="119">
        <f t="shared" si="5"/>
        <v>0</v>
      </c>
    </row>
    <row r="13" spans="1:14" ht="7.5" customHeight="1" x14ac:dyDescent="0.15">
      <c r="A13" s="34"/>
      <c r="B13" s="33"/>
      <c r="C13" s="33"/>
      <c r="D13" s="33"/>
      <c r="E13" s="33"/>
      <c r="F13" s="33"/>
      <c r="G13" s="33"/>
      <c r="H13" s="33"/>
      <c r="I13" s="33"/>
      <c r="J13" s="33"/>
      <c r="K13" s="33"/>
    </row>
    <row r="14" spans="1:14" ht="22.5" customHeight="1" x14ac:dyDescent="0.15">
      <c r="A14" s="31" t="s">
        <v>40</v>
      </c>
      <c r="B14" s="32" t="s">
        <v>17</v>
      </c>
      <c r="C14" s="33"/>
      <c r="D14" s="33"/>
      <c r="E14" s="33"/>
      <c r="F14" s="33"/>
      <c r="G14" s="33"/>
      <c r="H14" s="33"/>
      <c r="I14" s="33"/>
      <c r="J14" s="33"/>
      <c r="K14" s="33"/>
      <c r="L14" s="38"/>
      <c r="M14" s="38"/>
    </row>
    <row r="15" spans="1:14" ht="22.5" customHeight="1" x14ac:dyDescent="0.15">
      <c r="A15" s="34"/>
      <c r="B15" s="116"/>
      <c r="C15" s="37" t="str">
        <f>IF(AND(F5="OK",B15=""),"入力してください",(IF(B15=1,"「はい」　算定結果を確認してください",IF(B15=2,"「いいえ」　Q３を入力してください",""))))</f>
        <v/>
      </c>
      <c r="D15" s="33"/>
      <c r="E15" s="33"/>
      <c r="F15" s="33"/>
      <c r="G15" s="33"/>
      <c r="H15" s="33"/>
      <c r="I15" s="33"/>
      <c r="J15" s="33"/>
      <c r="K15" s="33"/>
      <c r="L15" s="38"/>
      <c r="M15" s="38"/>
    </row>
    <row r="16" spans="1:14" ht="19.5" x14ac:dyDescent="0.15">
      <c r="A16" s="34"/>
      <c r="B16" s="33"/>
      <c r="C16" s="33"/>
      <c r="D16" s="33"/>
      <c r="E16" s="33"/>
      <c r="F16" s="33"/>
      <c r="G16" s="33"/>
      <c r="H16" s="33"/>
      <c r="I16" s="33"/>
      <c r="J16" s="33"/>
      <c r="K16" s="33"/>
      <c r="L16" s="38"/>
      <c r="M16" s="38"/>
    </row>
    <row r="17" spans="1:18" ht="22.5" customHeight="1" x14ac:dyDescent="0.15">
      <c r="A17" s="31" t="s">
        <v>18</v>
      </c>
      <c r="B17" s="32" t="s">
        <v>41</v>
      </c>
      <c r="C17" s="33"/>
      <c r="D17" s="33"/>
      <c r="E17" s="33"/>
      <c r="F17" s="33"/>
    </row>
    <row r="18" spans="1:18" ht="22.5" customHeight="1" x14ac:dyDescent="0.15">
      <c r="A18" s="33"/>
      <c r="B18" s="35" t="s">
        <v>42</v>
      </c>
      <c r="C18" s="113"/>
      <c r="D18" s="106"/>
      <c r="E18" s="37" t="str">
        <f>IF(B15="","",IF(B15=1,"入力しないでください",IF(D18&lt;&gt;"","算定結果を確認してください","入力してください")))</f>
        <v/>
      </c>
      <c r="F18" s="33"/>
      <c r="G18" s="108" t="str">
        <f>IF(AND(OR(C18="給与",C18="年金(65歳以上)",C18="年金(65歳未満)"),D18&gt;0),1,"0")</f>
        <v>0</v>
      </c>
      <c r="N18" s="36">
        <f>IF(AND(C18="年金(65歳以上)",D18&gt;0),MIN(D18,150000),0)</f>
        <v>0</v>
      </c>
    </row>
    <row r="19" spans="1:18" ht="13.5" customHeight="1" x14ac:dyDescent="0.15">
      <c r="A19" s="33"/>
      <c r="B19" s="39"/>
      <c r="C19" s="39"/>
      <c r="D19" s="33"/>
      <c r="E19" s="33"/>
      <c r="N19" s="120">
        <f>SUM(N5:N12)+N18</f>
        <v>0</v>
      </c>
    </row>
    <row r="20" spans="1:18" ht="13.5" customHeight="1" thickBot="1" x14ac:dyDescent="0.2">
      <c r="A20" s="33"/>
      <c r="B20" s="39"/>
      <c r="C20" s="39"/>
      <c r="D20" s="33"/>
      <c r="E20" s="33"/>
      <c r="F20" s="33"/>
    </row>
    <row r="21" spans="1:18" ht="28.5" x14ac:dyDescent="0.15">
      <c r="A21" s="40"/>
      <c r="B21" s="41" t="s">
        <v>19</v>
      </c>
      <c r="C21" s="99"/>
      <c r="D21" s="99"/>
      <c r="E21" s="99"/>
      <c r="F21" s="99"/>
      <c r="G21" s="42"/>
      <c r="H21" s="42"/>
      <c r="I21" s="42"/>
      <c r="J21" s="42"/>
      <c r="K21" s="43"/>
    </row>
    <row r="22" spans="1:18" ht="26.25" customHeight="1" x14ac:dyDescent="0.15">
      <c r="A22" s="44"/>
      <c r="B22" s="100" t="s">
        <v>43</v>
      </c>
      <c r="C22" s="45">
        <f>IF(COUNTA(I5:I12)=0,"",SUM(I5:I12)+D18-N19)</f>
        <v>0</v>
      </c>
      <c r="D22" s="101"/>
      <c r="E22" s="101"/>
      <c r="F22" s="103" t="s">
        <v>88</v>
      </c>
      <c r="G22" s="101"/>
      <c r="H22" s="46"/>
      <c r="I22" s="46"/>
      <c r="J22" s="46"/>
      <c r="K22" s="47"/>
    </row>
    <row r="23" spans="1:18" ht="26.25" customHeight="1" x14ac:dyDescent="0.15">
      <c r="A23" s="44"/>
      <c r="B23" s="100" t="s">
        <v>25</v>
      </c>
      <c r="C23" s="48" t="str">
        <f>IF(C5="","",IF(C22&lt;=C26+(H23-1)*100000,B26,IF(C22&lt;=(C26+C27*C33+(H23-1)*100000),B27,IF(C22&lt;=(C26+C28*C33+(H23-1)*100000),B28,"軽減なし"))))</f>
        <v/>
      </c>
      <c r="D23" s="101"/>
      <c r="E23" s="101"/>
      <c r="F23" s="100" t="s">
        <v>87</v>
      </c>
      <c r="G23" s="111">
        <f>COUNTIF(E5:E12,"&gt;0")+COUNTIFS(F5:F12,"&gt;0",E5:E12,"")+COUNTIFS(F5:F12,"&gt;0",E5:E12,"=0")+G18</f>
        <v>0</v>
      </c>
      <c r="H23" s="128">
        <f>IF(G23=0,1,G23)</f>
        <v>1</v>
      </c>
      <c r="I23" s="122"/>
      <c r="J23" s="46"/>
      <c r="K23" s="47"/>
    </row>
    <row r="24" spans="1:18" ht="26.25" customHeight="1" x14ac:dyDescent="0.15">
      <c r="A24" s="44"/>
      <c r="B24" s="101"/>
      <c r="C24" s="49"/>
      <c r="D24" s="101"/>
      <c r="E24" s="101"/>
      <c r="F24" s="101"/>
      <c r="G24" s="50"/>
      <c r="H24" s="101"/>
      <c r="I24" s="101"/>
      <c r="J24" s="101"/>
      <c r="K24" s="51"/>
      <c r="L24" s="52"/>
      <c r="M24" s="52"/>
      <c r="N24" s="52"/>
      <c r="O24" s="52"/>
      <c r="P24" s="52"/>
      <c r="Q24" s="52"/>
    </row>
    <row r="25" spans="1:18" ht="26.25" customHeight="1" x14ac:dyDescent="0.15">
      <c r="A25" s="44"/>
      <c r="B25" s="135" t="s">
        <v>44</v>
      </c>
      <c r="C25" s="185" t="s">
        <v>45</v>
      </c>
      <c r="D25" s="185"/>
      <c r="E25" s="185"/>
      <c r="F25" s="185"/>
      <c r="G25" s="185"/>
      <c r="H25" s="185"/>
      <c r="I25" s="185"/>
      <c r="J25" s="46"/>
      <c r="K25" s="47"/>
      <c r="L25" s="52"/>
      <c r="M25" s="52"/>
    </row>
    <row r="26" spans="1:18" ht="26.25" customHeight="1" x14ac:dyDescent="0.15">
      <c r="A26" s="44"/>
      <c r="B26" s="135" t="s">
        <v>46</v>
      </c>
      <c r="C26" s="186">
        <v>430000</v>
      </c>
      <c r="D26" s="186"/>
      <c r="E26" s="186"/>
      <c r="F26" s="186"/>
      <c r="G26" s="186"/>
      <c r="H26" s="186"/>
      <c r="I26" s="186"/>
      <c r="J26" s="46"/>
      <c r="K26" s="47"/>
    </row>
    <row r="27" spans="1:18" ht="26.25" customHeight="1" x14ac:dyDescent="0.15">
      <c r="A27" s="53"/>
      <c r="B27" s="135" t="s">
        <v>47</v>
      </c>
      <c r="C27" s="187">
        <v>310000</v>
      </c>
      <c r="D27" s="187"/>
      <c r="E27" s="187"/>
      <c r="F27" s="187"/>
      <c r="G27" s="187"/>
      <c r="H27" s="187"/>
      <c r="I27" s="187"/>
      <c r="J27" s="46"/>
      <c r="K27" s="47"/>
    </row>
    <row r="28" spans="1:18" ht="26.25" customHeight="1" x14ac:dyDescent="0.15">
      <c r="A28" s="44"/>
      <c r="B28" s="135" t="s">
        <v>48</v>
      </c>
      <c r="C28" s="187">
        <v>570000</v>
      </c>
      <c r="D28" s="187"/>
      <c r="E28" s="187"/>
      <c r="F28" s="187"/>
      <c r="G28" s="187"/>
      <c r="H28" s="187"/>
      <c r="I28" s="187"/>
      <c r="J28" s="46"/>
      <c r="K28" s="47"/>
    </row>
    <row r="29" spans="1:18" ht="20.25" customHeight="1" x14ac:dyDescent="0.45">
      <c r="A29" s="44"/>
      <c r="B29" s="54" t="s">
        <v>91</v>
      </c>
      <c r="C29" s="101"/>
      <c r="D29" s="101"/>
      <c r="E29" s="101"/>
      <c r="F29" s="46"/>
      <c r="G29" s="46"/>
      <c r="H29" s="46"/>
      <c r="I29" s="46"/>
      <c r="J29" s="46"/>
      <c r="K29" s="47"/>
      <c r="L29" s="52"/>
    </row>
    <row r="30" spans="1:18" ht="20.25" customHeight="1" x14ac:dyDescent="0.15">
      <c r="A30" s="44"/>
      <c r="B30" s="50" t="s">
        <v>96</v>
      </c>
      <c r="C30" s="101"/>
      <c r="D30" s="101"/>
      <c r="E30" s="101"/>
      <c r="F30" s="46"/>
      <c r="G30" s="46"/>
      <c r="H30" s="46"/>
      <c r="I30" s="46"/>
      <c r="J30" s="46"/>
      <c r="K30" s="47"/>
      <c r="L30" s="52"/>
      <c r="M30" s="52"/>
      <c r="N30" s="52"/>
      <c r="O30" s="52"/>
      <c r="P30" s="52"/>
      <c r="Q30" s="52"/>
    </row>
    <row r="31" spans="1:18" ht="26.25" customHeight="1" x14ac:dyDescent="0.15">
      <c r="A31" s="44"/>
      <c r="B31" s="101"/>
      <c r="C31" s="101"/>
      <c r="D31" s="101"/>
      <c r="E31" s="101"/>
      <c r="F31" s="101"/>
      <c r="G31" s="46"/>
      <c r="H31" s="46"/>
      <c r="I31" s="46"/>
      <c r="J31" s="46"/>
      <c r="K31" s="47"/>
      <c r="M31" s="52"/>
      <c r="N31" s="52"/>
      <c r="O31" s="52"/>
      <c r="P31" s="52"/>
      <c r="Q31" s="52"/>
    </row>
    <row r="32" spans="1:18" ht="26.25" customHeight="1" x14ac:dyDescent="0.15">
      <c r="A32" s="44"/>
      <c r="B32" s="135"/>
      <c r="C32" s="135" t="s">
        <v>20</v>
      </c>
      <c r="D32" s="135" t="s">
        <v>98</v>
      </c>
      <c r="E32" s="135" t="s">
        <v>21</v>
      </c>
      <c r="F32" s="101"/>
      <c r="G32" s="46"/>
      <c r="H32" s="46"/>
      <c r="I32" s="46"/>
      <c r="J32" s="46"/>
      <c r="K32" s="47"/>
      <c r="L32" s="52"/>
      <c r="N32" s="52"/>
      <c r="O32" s="52"/>
      <c r="P32" s="52"/>
      <c r="Q32" s="52"/>
      <c r="R32" s="52"/>
    </row>
    <row r="33" spans="1:18" ht="26.25" customHeight="1" x14ac:dyDescent="0.15">
      <c r="A33" s="44"/>
      <c r="B33" s="100" t="s">
        <v>22</v>
      </c>
      <c r="C33" s="100">
        <f>COUNTA(D5:D12)</f>
        <v>0</v>
      </c>
      <c r="D33" s="100">
        <f>COUNTIF(D5:D12,"&lt;6")</f>
        <v>0</v>
      </c>
      <c r="E33" s="45">
        <f>SUM(L5:L12)</f>
        <v>0</v>
      </c>
      <c r="F33" s="94"/>
      <c r="G33" s="46"/>
      <c r="H33" s="46"/>
      <c r="I33" s="46"/>
      <c r="J33" s="46"/>
      <c r="K33" s="47"/>
      <c r="L33" s="52"/>
      <c r="N33" s="52"/>
      <c r="O33" s="52"/>
      <c r="P33" s="52"/>
      <c r="Q33" s="52"/>
      <c r="R33" s="52"/>
    </row>
    <row r="34" spans="1:18" ht="26.25" customHeight="1" x14ac:dyDescent="0.15">
      <c r="A34" s="44"/>
      <c r="B34" s="100" t="s">
        <v>23</v>
      </c>
      <c r="C34" s="100">
        <f>C33</f>
        <v>0</v>
      </c>
      <c r="D34" s="100">
        <f>D33</f>
        <v>0</v>
      </c>
      <c r="E34" s="55">
        <f>E33</f>
        <v>0</v>
      </c>
      <c r="F34" s="101"/>
      <c r="G34" s="46"/>
      <c r="H34" s="46"/>
      <c r="I34" s="46"/>
      <c r="J34" s="46"/>
      <c r="K34" s="47"/>
      <c r="L34" s="52"/>
      <c r="N34" s="52"/>
      <c r="O34" s="52"/>
      <c r="P34" s="52"/>
      <c r="Q34" s="52"/>
      <c r="R34" s="52"/>
    </row>
    <row r="35" spans="1:18" ht="26.25" customHeight="1" x14ac:dyDescent="0.15">
      <c r="A35" s="44"/>
      <c r="B35" s="56" t="s">
        <v>24</v>
      </c>
      <c r="C35" s="100">
        <f>COUNTIF(D5:D12,"&gt;=40")-COUNTIF(D5:D12,"&gt;64")</f>
        <v>0</v>
      </c>
      <c r="D35" s="100">
        <v>0</v>
      </c>
      <c r="E35" s="55">
        <f>SUMIF(M5:M12,"該当",L5:L12)</f>
        <v>0</v>
      </c>
      <c r="F35" s="101"/>
      <c r="G35" s="46"/>
      <c r="H35" s="101"/>
      <c r="I35" s="101"/>
      <c r="J35" s="101"/>
      <c r="K35" s="51"/>
      <c r="L35" s="118"/>
      <c r="M35" s="52"/>
      <c r="N35" s="52"/>
      <c r="O35" s="52"/>
      <c r="P35" s="52"/>
      <c r="Q35" s="52"/>
      <c r="R35" s="52"/>
    </row>
    <row r="36" spans="1:18" ht="26.25" customHeight="1" x14ac:dyDescent="0.15">
      <c r="A36" s="44"/>
      <c r="B36" s="56" t="s">
        <v>103</v>
      </c>
      <c r="C36" s="100">
        <f>COUNTIF(D5:D12,"&gt;=18")</f>
        <v>0</v>
      </c>
      <c r="D36" s="100">
        <v>0</v>
      </c>
      <c r="E36" s="55">
        <f>SUM(L5:L12)</f>
        <v>0</v>
      </c>
      <c r="F36" s="101" t="s">
        <v>113</v>
      </c>
      <c r="G36" s="46"/>
      <c r="H36" s="101"/>
      <c r="I36" s="101"/>
      <c r="J36" s="101"/>
      <c r="K36" s="51"/>
      <c r="L36" s="118"/>
      <c r="M36" s="52"/>
      <c r="N36" s="52"/>
      <c r="O36" s="52"/>
      <c r="P36" s="52"/>
      <c r="Q36" s="52"/>
      <c r="R36" s="52"/>
    </row>
    <row r="37" spans="1:18" ht="26.25" customHeight="1" x14ac:dyDescent="0.15">
      <c r="A37" s="44"/>
      <c r="B37" s="101"/>
      <c r="C37" s="101"/>
      <c r="D37" s="101"/>
      <c r="E37" s="101"/>
      <c r="F37" s="101"/>
      <c r="G37" s="101" t="s">
        <v>26</v>
      </c>
      <c r="H37" s="101"/>
      <c r="I37" s="101"/>
      <c r="J37" s="101"/>
      <c r="K37" s="51"/>
      <c r="L37" s="52"/>
      <c r="M37" s="52"/>
      <c r="N37" s="52"/>
      <c r="O37" s="52"/>
      <c r="P37" s="52"/>
      <c r="Q37" s="52"/>
    </row>
    <row r="38" spans="1:18" ht="26.25" customHeight="1" x14ac:dyDescent="0.15">
      <c r="A38" s="44"/>
      <c r="B38" s="135" t="s">
        <v>27</v>
      </c>
      <c r="C38" s="135" t="s">
        <v>22</v>
      </c>
      <c r="D38" s="135" t="s">
        <v>23</v>
      </c>
      <c r="E38" s="135" t="s">
        <v>24</v>
      </c>
      <c r="F38" s="136" t="s">
        <v>112</v>
      </c>
      <c r="G38" s="101"/>
      <c r="H38" s="135" t="s">
        <v>22</v>
      </c>
      <c r="I38" s="135" t="s">
        <v>23</v>
      </c>
      <c r="J38" s="135" t="s">
        <v>24</v>
      </c>
      <c r="K38" s="142" t="s">
        <v>103</v>
      </c>
      <c r="L38" s="137"/>
      <c r="M38" s="52"/>
      <c r="N38" s="52"/>
      <c r="O38" s="52"/>
      <c r="P38" s="52"/>
      <c r="Q38" s="52"/>
      <c r="R38" s="52"/>
    </row>
    <row r="39" spans="1:18" ht="26.25" customHeight="1" x14ac:dyDescent="0.15">
      <c r="A39" s="44"/>
      <c r="B39" s="100" t="s">
        <v>28</v>
      </c>
      <c r="C39" s="55">
        <f>E33*H39/100</f>
        <v>0</v>
      </c>
      <c r="D39" s="55">
        <f>E34*I39/100</f>
        <v>0</v>
      </c>
      <c r="E39" s="55">
        <f>E35*J39/100</f>
        <v>0</v>
      </c>
      <c r="F39" s="55">
        <f>E33*K39/100</f>
        <v>0</v>
      </c>
      <c r="G39" s="101"/>
      <c r="H39" s="57">
        <v>8.5</v>
      </c>
      <c r="I39" s="57">
        <v>3.1</v>
      </c>
      <c r="J39" s="57">
        <v>2.6</v>
      </c>
      <c r="K39" s="129">
        <v>0.27</v>
      </c>
      <c r="L39" s="138"/>
      <c r="M39" s="52"/>
      <c r="N39" s="52"/>
      <c r="O39" s="52"/>
      <c r="P39" s="52"/>
      <c r="Q39" s="52"/>
      <c r="R39" s="52"/>
    </row>
    <row r="40" spans="1:18" ht="26.25" customHeight="1" x14ac:dyDescent="0.15">
      <c r="A40" s="44"/>
      <c r="B40" s="100" t="s">
        <v>29</v>
      </c>
      <c r="C40" s="55">
        <f>C33*H40</f>
        <v>0</v>
      </c>
      <c r="D40" s="55">
        <f>C34*I40</f>
        <v>0</v>
      </c>
      <c r="E40" s="55">
        <f>C35*J40</f>
        <v>0</v>
      </c>
      <c r="F40" s="55">
        <f>C36*K40</f>
        <v>0</v>
      </c>
      <c r="G40" s="101"/>
      <c r="H40" s="58">
        <v>30200</v>
      </c>
      <c r="I40" s="58">
        <v>10500</v>
      </c>
      <c r="J40" s="58">
        <v>18700</v>
      </c>
      <c r="K40" s="143">
        <v>1500</v>
      </c>
      <c r="L40" s="139"/>
      <c r="M40" s="52"/>
      <c r="N40" s="52"/>
      <c r="O40" s="52"/>
      <c r="P40" s="52"/>
      <c r="Q40" s="52"/>
      <c r="R40" s="52"/>
    </row>
    <row r="41" spans="1:18" ht="26.25" customHeight="1" x14ac:dyDescent="0.15">
      <c r="A41" s="44"/>
      <c r="B41" s="100" t="s">
        <v>30</v>
      </c>
      <c r="C41" s="55">
        <f>IF(C33=0,0,H41)</f>
        <v>0</v>
      </c>
      <c r="D41" s="55">
        <f>IF(C34=0,0,I41)</f>
        <v>0</v>
      </c>
      <c r="E41" s="55">
        <f>IF(C35=0,0,J41)</f>
        <v>0</v>
      </c>
      <c r="F41" s="55">
        <v>0</v>
      </c>
      <c r="G41" s="101"/>
      <c r="H41" s="58">
        <v>20800</v>
      </c>
      <c r="I41" s="58">
        <v>7200</v>
      </c>
      <c r="J41" s="58">
        <v>0</v>
      </c>
      <c r="K41" s="144">
        <v>0</v>
      </c>
      <c r="L41" s="140"/>
      <c r="M41" s="52"/>
      <c r="N41" s="52"/>
      <c r="O41" s="52"/>
      <c r="P41" s="52"/>
      <c r="Q41" s="52"/>
      <c r="R41" s="52"/>
    </row>
    <row r="42" spans="1:18" ht="26.25" customHeight="1" x14ac:dyDescent="0.15">
      <c r="A42" s="44"/>
      <c r="B42" s="100" t="s">
        <v>31</v>
      </c>
      <c r="C42" s="55">
        <f>IF(C33=0,0,IF($C$23="軽減なし",0,IF($C$23=B26,H40*0.7*C33,IF($C$23=B27,H40*0.5*C33,IF($C$23=B28,H40*0.2*C33,"")))))</f>
        <v>0</v>
      </c>
      <c r="D42" s="55">
        <f>IF(C34=0,0,IF($C$23="軽減なし",0,IF($C$23=B26,I40*0.7*C34,IF($C$23=B27,I40*0.5*C34,IF($C$23=B28,I40*0.2*C34,"")))))</f>
        <v>0</v>
      </c>
      <c r="E42" s="55">
        <f>IF(C35=0,0,IF($C$23="軽減なし",0,IF($C$23=B26,J40*0.7*C35,IF($C$23=B27,J40*0.5*C35,IF($C$23=B28,J40*0.2*C35,"")))))</f>
        <v>0</v>
      </c>
      <c r="F42" s="55">
        <f>IF(C36=0,0,IF($C$23="軽減なし",0,IF($C$23=B26,K40*0.7*C36,IF($C$23=B27,K40*0.5*C36,IF($C$23=B28,K40*0.2*C36,"")))))</f>
        <v>0</v>
      </c>
      <c r="G42" s="101"/>
      <c r="H42" s="61"/>
      <c r="I42" s="61"/>
      <c r="J42" s="61"/>
      <c r="K42" s="51"/>
      <c r="L42" s="118"/>
      <c r="M42" s="52"/>
      <c r="N42" s="52"/>
      <c r="O42" s="52"/>
      <c r="P42" s="52"/>
      <c r="Q42" s="52"/>
      <c r="R42" s="52"/>
    </row>
    <row r="43" spans="1:18" ht="26.25" customHeight="1" x14ac:dyDescent="0.15">
      <c r="A43" s="44"/>
      <c r="B43" s="121" t="s">
        <v>97</v>
      </c>
      <c r="C43" s="55">
        <f>IF(C33=0,0,IF($C$23="軽減なし",H40*0.5*D33,IF($C$23=B26,H40*0.15*D33,IF($C$23=B27,H40*0.25*D33,IF($C$23=B28,H40*0.4*D33,"")))))</f>
        <v>0</v>
      </c>
      <c r="D43" s="55">
        <f>IF(C33=0,0,IF($C$23="軽減なし",I40*0.5*D33,IF($C$23=B26,I40*0.15*D33,IF($C$23=B27,I40*0.25*D33,IF($C$23=B28,I40*0.4*D33,"")))))</f>
        <v>0</v>
      </c>
      <c r="E43" s="55">
        <v>0</v>
      </c>
      <c r="F43" s="55">
        <v>0</v>
      </c>
      <c r="G43" s="101"/>
      <c r="H43" s="61"/>
      <c r="I43" s="61"/>
      <c r="J43" s="61"/>
      <c r="K43" s="51"/>
      <c r="L43" s="118"/>
      <c r="M43" s="52"/>
      <c r="N43" s="52"/>
      <c r="O43" s="52"/>
      <c r="P43" s="52"/>
      <c r="Q43" s="52"/>
      <c r="R43" s="52"/>
    </row>
    <row r="44" spans="1:18" ht="26.25" customHeight="1" x14ac:dyDescent="0.15">
      <c r="A44" s="59"/>
      <c r="B44" s="100" t="s">
        <v>33</v>
      </c>
      <c r="C44" s="55">
        <f>IF(C33=0,0,IF($C$23="軽減なし",0,IF($C$23=B26,H41*0.7,IF($C$23=B27,H41*0.5,IF($C$23=B28,H41*0.2,"")))))</f>
        <v>0</v>
      </c>
      <c r="D44" s="55">
        <f>IF(C33=0,0,IF($C$23="軽減なし",0,IF($C$23=B26,I41*0.7,IF($C$23=B27,I41*0.5,IF($C$23=B28,I41*0.2,"")))))</f>
        <v>0</v>
      </c>
      <c r="E44" s="55">
        <f>IF(C35=0,0,IF($C$23="軽減なし",0,IF($C$23=B26,J41*0.7,IF($C$23=B27,J41*0.5,IF($C$23=B28,J41*0.2,"")))))</f>
        <v>0</v>
      </c>
      <c r="F44" s="55">
        <v>0</v>
      </c>
      <c r="G44" s="101"/>
      <c r="H44" s="101" t="s">
        <v>32</v>
      </c>
      <c r="I44" s="101"/>
      <c r="J44" s="101"/>
      <c r="K44" s="51"/>
      <c r="L44" s="118"/>
      <c r="M44" s="52"/>
      <c r="N44" s="52"/>
      <c r="O44" s="52"/>
      <c r="P44" s="52"/>
      <c r="Q44" s="52"/>
      <c r="R44" s="52"/>
    </row>
    <row r="45" spans="1:18" ht="26.25" customHeight="1" x14ac:dyDescent="0.15">
      <c r="A45" s="59"/>
      <c r="B45" s="100" t="s">
        <v>34</v>
      </c>
      <c r="C45" s="55">
        <f>IF(SUM(C39:C41)&lt;H46,0,SUM(C39:C41)-H46)</f>
        <v>0</v>
      </c>
      <c r="D45" s="55">
        <f>IF(SUM(D39:D41)&lt;I46,0,SUM(D39:D41)-I46)</f>
        <v>0</v>
      </c>
      <c r="E45" s="55">
        <f>IF(SUM(E39:E41)&lt;J46,0,SUM(E39:E41)-J46)</f>
        <v>0</v>
      </c>
      <c r="F45" s="55">
        <f>IF(SUM(F39:F40)&lt;K46,0,SUM(F39:F40)-K46)</f>
        <v>0</v>
      </c>
      <c r="G45" s="101"/>
      <c r="H45" s="135" t="s">
        <v>22</v>
      </c>
      <c r="I45" s="135" t="s">
        <v>23</v>
      </c>
      <c r="J45" s="135" t="s">
        <v>24</v>
      </c>
      <c r="K45" s="142" t="s">
        <v>103</v>
      </c>
      <c r="L45" s="137"/>
      <c r="M45" s="52"/>
      <c r="N45" s="52"/>
      <c r="O45" s="52"/>
      <c r="P45" s="52"/>
      <c r="Q45" s="52"/>
      <c r="R45" s="52"/>
    </row>
    <row r="46" spans="1:18" ht="26.25" customHeight="1" thickBot="1" x14ac:dyDescent="0.2">
      <c r="A46" s="60"/>
      <c r="B46" s="66" t="s">
        <v>35</v>
      </c>
      <c r="C46" s="67">
        <f>ROUNDDOWN(SUM(C39:C41)-SUM(C42:C45),-2)</f>
        <v>0</v>
      </c>
      <c r="D46" s="67">
        <f>ROUNDDOWN(SUM(D39:D41)-SUM(D42:D45),-2)</f>
        <v>0</v>
      </c>
      <c r="E46" s="67">
        <f>ROUNDDOWN(SUM(E39:E41)-SUM(E42:E45),-2)</f>
        <v>0</v>
      </c>
      <c r="F46" s="67">
        <f>ROUNDDOWN(SUM(F39:F41)-SUM(F42:F45),-2)</f>
        <v>0</v>
      </c>
      <c r="G46" s="68"/>
      <c r="H46" s="69">
        <v>670000</v>
      </c>
      <c r="I46" s="69">
        <v>260000</v>
      </c>
      <c r="J46" s="69">
        <v>170000</v>
      </c>
      <c r="K46" s="145">
        <v>30000</v>
      </c>
      <c r="L46" s="141"/>
      <c r="M46" s="52"/>
      <c r="N46" s="52"/>
      <c r="O46" s="52"/>
      <c r="P46" s="52"/>
      <c r="Q46" s="52"/>
      <c r="R46" s="52"/>
    </row>
    <row r="47" spans="1:18" ht="37.5" customHeight="1" thickBot="1" x14ac:dyDescent="0.2">
      <c r="A47" s="70"/>
      <c r="B47" s="71"/>
      <c r="C47" s="71"/>
      <c r="D47" s="71"/>
      <c r="E47" s="71"/>
      <c r="F47" s="118"/>
      <c r="G47" s="71"/>
      <c r="H47" s="71"/>
      <c r="I47" s="71"/>
      <c r="J47" s="118"/>
      <c r="K47" s="118"/>
      <c r="L47" s="52"/>
      <c r="M47" s="52"/>
      <c r="N47" s="52"/>
      <c r="O47" s="52"/>
      <c r="P47" s="52"/>
      <c r="Q47" s="52"/>
    </row>
    <row r="48" spans="1:18" ht="60.75" customHeight="1" thickBot="1" x14ac:dyDescent="0.2">
      <c r="A48" s="62"/>
      <c r="B48" s="188" t="s">
        <v>36</v>
      </c>
      <c r="C48" s="189"/>
      <c r="D48" s="189"/>
      <c r="E48" s="189"/>
      <c r="F48" s="190" t="str">
        <f>TEXT(SUM(C46:F46),"#,##0")</f>
        <v>0</v>
      </c>
      <c r="G48" s="190"/>
      <c r="H48" s="73" t="s">
        <v>37</v>
      </c>
      <c r="I48" s="62"/>
      <c r="J48" s="62"/>
      <c r="K48" s="62"/>
      <c r="L48" s="52"/>
      <c r="M48" s="52"/>
      <c r="N48" s="52"/>
      <c r="O48" s="52"/>
      <c r="P48" s="52"/>
      <c r="Q48" s="52"/>
    </row>
    <row r="49" spans="1:17" ht="37.5" customHeight="1" thickBot="1" x14ac:dyDescent="0.2">
      <c r="A49" s="62"/>
      <c r="B49" s="74"/>
      <c r="C49" s="74"/>
      <c r="D49" s="74"/>
      <c r="E49" s="74"/>
      <c r="F49" s="134"/>
      <c r="G49" s="134"/>
      <c r="H49" s="75"/>
      <c r="I49" s="62"/>
      <c r="J49" s="62"/>
      <c r="K49" s="62"/>
      <c r="L49" s="52"/>
      <c r="M49" s="52"/>
      <c r="N49" s="52"/>
      <c r="O49" s="52"/>
      <c r="P49" s="52"/>
      <c r="Q49" s="52"/>
    </row>
    <row r="50" spans="1:17" ht="60" customHeight="1" thickBot="1" x14ac:dyDescent="0.2">
      <c r="A50" s="62"/>
      <c r="B50" s="181" t="s">
        <v>49</v>
      </c>
      <c r="C50" s="182"/>
      <c r="D50" s="182"/>
      <c r="E50" s="182"/>
      <c r="F50" s="183" t="str">
        <f>TEXT(ROUND(SUM(C46:F46)/12,0),"#,##0")</f>
        <v>0</v>
      </c>
      <c r="G50" s="183"/>
      <c r="H50" s="72" t="s">
        <v>37</v>
      </c>
      <c r="I50" s="62"/>
      <c r="J50" s="62"/>
      <c r="K50" s="62"/>
      <c r="L50" s="52"/>
    </row>
    <row r="51" spans="1:17" ht="39" customHeight="1" x14ac:dyDescent="0.15">
      <c r="A51" s="62"/>
      <c r="B51" s="127" t="s">
        <v>101</v>
      </c>
      <c r="C51" s="124"/>
      <c r="D51" s="124"/>
      <c r="E51" s="124"/>
      <c r="F51" s="125"/>
      <c r="G51" s="125"/>
      <c r="H51" s="126"/>
      <c r="I51" s="62"/>
      <c r="J51" s="62"/>
      <c r="K51" s="62"/>
      <c r="L51" s="52"/>
    </row>
    <row r="52" spans="1:17" ht="39" customHeight="1" thickBot="1" x14ac:dyDescent="0.2">
      <c r="A52" s="62"/>
      <c r="B52" s="63" t="s">
        <v>100</v>
      </c>
      <c r="C52" s="64"/>
      <c r="D52" s="64"/>
      <c r="E52" s="65"/>
      <c r="F52" s="65"/>
      <c r="G52" s="62"/>
      <c r="H52" s="62"/>
      <c r="I52" s="62"/>
      <c r="J52" s="62"/>
      <c r="K52" s="62"/>
      <c r="L52" s="52"/>
    </row>
    <row r="53" spans="1:17" ht="60" customHeight="1" thickBot="1" x14ac:dyDescent="0.2">
      <c r="A53" s="62"/>
      <c r="B53" s="181" t="s">
        <v>38</v>
      </c>
      <c r="C53" s="182"/>
      <c r="D53" s="182"/>
      <c r="E53" s="182"/>
      <c r="F53" s="183" t="str">
        <f>TEXT(ROUND(SUM(C46:F46)/8,0),"#,##0")</f>
        <v>0</v>
      </c>
      <c r="G53" s="183"/>
      <c r="H53" s="72" t="s">
        <v>37</v>
      </c>
      <c r="I53" s="62"/>
      <c r="J53" s="62"/>
      <c r="K53" s="62"/>
      <c r="L53" s="52"/>
    </row>
    <row r="54" spans="1:17" ht="22.5" customHeight="1" x14ac:dyDescent="0.15">
      <c r="A54" s="62"/>
      <c r="B54" s="62"/>
      <c r="C54" s="62"/>
      <c r="D54" s="62"/>
      <c r="E54" s="62"/>
      <c r="F54" s="62"/>
      <c r="G54" s="62"/>
      <c r="H54" s="62"/>
      <c r="I54" s="62"/>
      <c r="J54" s="62"/>
      <c r="K54" s="62"/>
      <c r="L54" s="52"/>
    </row>
    <row r="55" spans="1:17" ht="22.5" customHeight="1" x14ac:dyDescent="0.15">
      <c r="B55" s="123" t="s">
        <v>99</v>
      </c>
    </row>
  </sheetData>
  <sheetProtection algorithmName="SHA-512" hashValue="m6/XXk8bHXAJM1hhNFy3OcLhSJcZM2zI46eQuvpj7G0uC7thQSUluEXZgV1N6moHpf1kqHsbh1MzA67MML6Lpg==" saltValue="tfVeMupkbG5D+GDQBPD6ZA==" spinCount="100000" sheet="1" formatCells="0" formatColumns="0" formatRows="0" insertColumns="0" insertRows="0" insertHyperlinks="0" deleteColumns="0" deleteRows="0" sort="0" autoFilter="0" pivotTables="0"/>
  <mergeCells count="11">
    <mergeCell ref="B50:E50"/>
    <mergeCell ref="F50:G50"/>
    <mergeCell ref="B53:E53"/>
    <mergeCell ref="F53:G53"/>
    <mergeCell ref="B1:E1"/>
    <mergeCell ref="C25:I25"/>
    <mergeCell ref="C26:I26"/>
    <mergeCell ref="C27:I27"/>
    <mergeCell ref="C28:I28"/>
    <mergeCell ref="B48:E48"/>
    <mergeCell ref="F48:G48"/>
  </mergeCells>
  <phoneticPr fontId="1"/>
  <dataValidations count="3">
    <dataValidation type="list" allowBlank="1" showInputMessage="1" showErrorMessage="1" sqref="B15 IY15 SU15 ACQ15 AMM15 AWI15 BGE15 BQA15 BZW15 CJS15 CTO15 DDK15 DNG15 DXC15 EGY15 EQU15 FAQ15 FKM15 FUI15 GEE15 GOA15 GXW15 HHS15 HRO15 IBK15 ILG15 IVC15 JEY15 JOU15 JYQ15 KIM15 KSI15 LCE15 LMA15 LVW15 MFS15 MPO15 MZK15 NJG15 NTC15 OCY15 OMU15 OWQ15 PGM15 PQI15 QAE15 QKA15 QTW15 RDS15 RNO15 RXK15 SHG15 SRC15 TAY15 TKU15 TUQ15 UEM15 UOI15 UYE15 VIA15 VRW15 WBS15 WLO15 WVK15 B65555 IY65556 SU65556 ACQ65556 AMM65556 AWI65556 BGE65556 BQA65556 BZW65556 CJS65556 CTO65556 DDK65556 DNG65556 DXC65556 EGY65556 EQU65556 FAQ65556 FKM65556 FUI65556 GEE65556 GOA65556 GXW65556 HHS65556 HRO65556 IBK65556 ILG65556 IVC65556 JEY65556 JOU65556 JYQ65556 KIM65556 KSI65556 LCE65556 LMA65556 LVW65556 MFS65556 MPO65556 MZK65556 NJG65556 NTC65556 OCY65556 OMU65556 OWQ65556 PGM65556 PQI65556 QAE65556 QKA65556 QTW65556 RDS65556 RNO65556 RXK65556 SHG65556 SRC65556 TAY65556 TKU65556 TUQ65556 UEM65556 UOI65556 UYE65556 VIA65556 VRW65556 WBS65556 WLO65556 WVK65556 B131091 IY131092 SU131092 ACQ131092 AMM131092 AWI131092 BGE131092 BQA131092 BZW131092 CJS131092 CTO131092 DDK131092 DNG131092 DXC131092 EGY131092 EQU131092 FAQ131092 FKM131092 FUI131092 GEE131092 GOA131092 GXW131092 HHS131092 HRO131092 IBK131092 ILG131092 IVC131092 JEY131092 JOU131092 JYQ131092 KIM131092 KSI131092 LCE131092 LMA131092 LVW131092 MFS131092 MPO131092 MZK131092 NJG131092 NTC131092 OCY131092 OMU131092 OWQ131092 PGM131092 PQI131092 QAE131092 QKA131092 QTW131092 RDS131092 RNO131092 RXK131092 SHG131092 SRC131092 TAY131092 TKU131092 TUQ131092 UEM131092 UOI131092 UYE131092 VIA131092 VRW131092 WBS131092 WLO131092 WVK131092 B196627 IY196628 SU196628 ACQ196628 AMM196628 AWI196628 BGE196628 BQA196628 BZW196628 CJS196628 CTO196628 DDK196628 DNG196628 DXC196628 EGY196628 EQU196628 FAQ196628 FKM196628 FUI196628 GEE196628 GOA196628 GXW196628 HHS196628 HRO196628 IBK196628 ILG196628 IVC196628 JEY196628 JOU196628 JYQ196628 KIM196628 KSI196628 LCE196628 LMA196628 LVW196628 MFS196628 MPO196628 MZK196628 NJG196628 NTC196628 OCY196628 OMU196628 OWQ196628 PGM196628 PQI196628 QAE196628 QKA196628 QTW196628 RDS196628 RNO196628 RXK196628 SHG196628 SRC196628 TAY196628 TKU196628 TUQ196628 UEM196628 UOI196628 UYE196628 VIA196628 VRW196628 WBS196628 WLO196628 WVK196628 B262163 IY262164 SU262164 ACQ262164 AMM262164 AWI262164 BGE262164 BQA262164 BZW262164 CJS262164 CTO262164 DDK262164 DNG262164 DXC262164 EGY262164 EQU262164 FAQ262164 FKM262164 FUI262164 GEE262164 GOA262164 GXW262164 HHS262164 HRO262164 IBK262164 ILG262164 IVC262164 JEY262164 JOU262164 JYQ262164 KIM262164 KSI262164 LCE262164 LMA262164 LVW262164 MFS262164 MPO262164 MZK262164 NJG262164 NTC262164 OCY262164 OMU262164 OWQ262164 PGM262164 PQI262164 QAE262164 QKA262164 QTW262164 RDS262164 RNO262164 RXK262164 SHG262164 SRC262164 TAY262164 TKU262164 TUQ262164 UEM262164 UOI262164 UYE262164 VIA262164 VRW262164 WBS262164 WLO262164 WVK262164 B327699 IY327700 SU327700 ACQ327700 AMM327700 AWI327700 BGE327700 BQA327700 BZW327700 CJS327700 CTO327700 DDK327700 DNG327700 DXC327700 EGY327700 EQU327700 FAQ327700 FKM327700 FUI327700 GEE327700 GOA327700 GXW327700 HHS327700 HRO327700 IBK327700 ILG327700 IVC327700 JEY327700 JOU327700 JYQ327700 KIM327700 KSI327700 LCE327700 LMA327700 LVW327700 MFS327700 MPO327700 MZK327700 NJG327700 NTC327700 OCY327700 OMU327700 OWQ327700 PGM327700 PQI327700 QAE327700 QKA327700 QTW327700 RDS327700 RNO327700 RXK327700 SHG327700 SRC327700 TAY327700 TKU327700 TUQ327700 UEM327700 UOI327700 UYE327700 VIA327700 VRW327700 WBS327700 WLO327700 WVK327700 B393235 IY393236 SU393236 ACQ393236 AMM393236 AWI393236 BGE393236 BQA393236 BZW393236 CJS393236 CTO393236 DDK393236 DNG393236 DXC393236 EGY393236 EQU393236 FAQ393236 FKM393236 FUI393236 GEE393236 GOA393236 GXW393236 HHS393236 HRO393236 IBK393236 ILG393236 IVC393236 JEY393236 JOU393236 JYQ393236 KIM393236 KSI393236 LCE393236 LMA393236 LVW393236 MFS393236 MPO393236 MZK393236 NJG393236 NTC393236 OCY393236 OMU393236 OWQ393236 PGM393236 PQI393236 QAE393236 QKA393236 QTW393236 RDS393236 RNO393236 RXK393236 SHG393236 SRC393236 TAY393236 TKU393236 TUQ393236 UEM393236 UOI393236 UYE393236 VIA393236 VRW393236 WBS393236 WLO393236 WVK393236 B458771 IY458772 SU458772 ACQ458772 AMM458772 AWI458772 BGE458772 BQA458772 BZW458772 CJS458772 CTO458772 DDK458772 DNG458772 DXC458772 EGY458772 EQU458772 FAQ458772 FKM458772 FUI458772 GEE458772 GOA458772 GXW458772 HHS458772 HRO458772 IBK458772 ILG458772 IVC458772 JEY458772 JOU458772 JYQ458772 KIM458772 KSI458772 LCE458772 LMA458772 LVW458772 MFS458772 MPO458772 MZK458772 NJG458772 NTC458772 OCY458772 OMU458772 OWQ458772 PGM458772 PQI458772 QAE458772 QKA458772 QTW458772 RDS458772 RNO458772 RXK458772 SHG458772 SRC458772 TAY458772 TKU458772 TUQ458772 UEM458772 UOI458772 UYE458772 VIA458772 VRW458772 WBS458772 WLO458772 WVK458772 B524307 IY524308 SU524308 ACQ524308 AMM524308 AWI524308 BGE524308 BQA524308 BZW524308 CJS524308 CTO524308 DDK524308 DNG524308 DXC524308 EGY524308 EQU524308 FAQ524308 FKM524308 FUI524308 GEE524308 GOA524308 GXW524308 HHS524308 HRO524308 IBK524308 ILG524308 IVC524308 JEY524308 JOU524308 JYQ524308 KIM524308 KSI524308 LCE524308 LMA524308 LVW524308 MFS524308 MPO524308 MZK524308 NJG524308 NTC524308 OCY524308 OMU524308 OWQ524308 PGM524308 PQI524308 QAE524308 QKA524308 QTW524308 RDS524308 RNO524308 RXK524308 SHG524308 SRC524308 TAY524308 TKU524308 TUQ524308 UEM524308 UOI524308 UYE524308 VIA524308 VRW524308 WBS524308 WLO524308 WVK524308 B589843 IY589844 SU589844 ACQ589844 AMM589844 AWI589844 BGE589844 BQA589844 BZW589844 CJS589844 CTO589844 DDK589844 DNG589844 DXC589844 EGY589844 EQU589844 FAQ589844 FKM589844 FUI589844 GEE589844 GOA589844 GXW589844 HHS589844 HRO589844 IBK589844 ILG589844 IVC589844 JEY589844 JOU589844 JYQ589844 KIM589844 KSI589844 LCE589844 LMA589844 LVW589844 MFS589844 MPO589844 MZK589844 NJG589844 NTC589844 OCY589844 OMU589844 OWQ589844 PGM589844 PQI589844 QAE589844 QKA589844 QTW589844 RDS589844 RNO589844 RXK589844 SHG589844 SRC589844 TAY589844 TKU589844 TUQ589844 UEM589844 UOI589844 UYE589844 VIA589844 VRW589844 WBS589844 WLO589844 WVK589844 B655379 IY655380 SU655380 ACQ655380 AMM655380 AWI655380 BGE655380 BQA655380 BZW655380 CJS655380 CTO655380 DDK655380 DNG655380 DXC655380 EGY655380 EQU655380 FAQ655380 FKM655380 FUI655380 GEE655380 GOA655380 GXW655380 HHS655380 HRO655380 IBK655380 ILG655380 IVC655380 JEY655380 JOU655380 JYQ655380 KIM655380 KSI655380 LCE655380 LMA655380 LVW655380 MFS655380 MPO655380 MZK655380 NJG655380 NTC655380 OCY655380 OMU655380 OWQ655380 PGM655380 PQI655380 QAE655380 QKA655380 QTW655380 RDS655380 RNO655380 RXK655380 SHG655380 SRC655380 TAY655380 TKU655380 TUQ655380 UEM655380 UOI655380 UYE655380 VIA655380 VRW655380 WBS655380 WLO655380 WVK655380 B720915 IY720916 SU720916 ACQ720916 AMM720916 AWI720916 BGE720916 BQA720916 BZW720916 CJS720916 CTO720916 DDK720916 DNG720916 DXC720916 EGY720916 EQU720916 FAQ720916 FKM720916 FUI720916 GEE720916 GOA720916 GXW720916 HHS720916 HRO720916 IBK720916 ILG720916 IVC720916 JEY720916 JOU720916 JYQ720916 KIM720916 KSI720916 LCE720916 LMA720916 LVW720916 MFS720916 MPO720916 MZK720916 NJG720916 NTC720916 OCY720916 OMU720916 OWQ720916 PGM720916 PQI720916 QAE720916 QKA720916 QTW720916 RDS720916 RNO720916 RXK720916 SHG720916 SRC720916 TAY720916 TKU720916 TUQ720916 UEM720916 UOI720916 UYE720916 VIA720916 VRW720916 WBS720916 WLO720916 WVK720916 B786451 IY786452 SU786452 ACQ786452 AMM786452 AWI786452 BGE786452 BQA786452 BZW786452 CJS786452 CTO786452 DDK786452 DNG786452 DXC786452 EGY786452 EQU786452 FAQ786452 FKM786452 FUI786452 GEE786452 GOA786452 GXW786452 HHS786452 HRO786452 IBK786452 ILG786452 IVC786452 JEY786452 JOU786452 JYQ786452 KIM786452 KSI786452 LCE786452 LMA786452 LVW786452 MFS786452 MPO786452 MZK786452 NJG786452 NTC786452 OCY786452 OMU786452 OWQ786452 PGM786452 PQI786452 QAE786452 QKA786452 QTW786452 RDS786452 RNO786452 RXK786452 SHG786452 SRC786452 TAY786452 TKU786452 TUQ786452 UEM786452 UOI786452 UYE786452 VIA786452 VRW786452 WBS786452 WLO786452 WVK786452 B851987 IY851988 SU851988 ACQ851988 AMM851988 AWI851988 BGE851988 BQA851988 BZW851988 CJS851988 CTO851988 DDK851988 DNG851988 DXC851988 EGY851988 EQU851988 FAQ851988 FKM851988 FUI851988 GEE851988 GOA851988 GXW851988 HHS851988 HRO851988 IBK851988 ILG851988 IVC851988 JEY851988 JOU851988 JYQ851988 KIM851988 KSI851988 LCE851988 LMA851988 LVW851988 MFS851988 MPO851988 MZK851988 NJG851988 NTC851988 OCY851988 OMU851988 OWQ851988 PGM851988 PQI851988 QAE851988 QKA851988 QTW851988 RDS851988 RNO851988 RXK851988 SHG851988 SRC851988 TAY851988 TKU851988 TUQ851988 UEM851988 UOI851988 UYE851988 VIA851988 VRW851988 WBS851988 WLO851988 WVK851988 B917523 IY917524 SU917524 ACQ917524 AMM917524 AWI917524 BGE917524 BQA917524 BZW917524 CJS917524 CTO917524 DDK917524 DNG917524 DXC917524 EGY917524 EQU917524 FAQ917524 FKM917524 FUI917524 GEE917524 GOA917524 GXW917524 HHS917524 HRO917524 IBK917524 ILG917524 IVC917524 JEY917524 JOU917524 JYQ917524 KIM917524 KSI917524 LCE917524 LMA917524 LVW917524 MFS917524 MPO917524 MZK917524 NJG917524 NTC917524 OCY917524 OMU917524 OWQ917524 PGM917524 PQI917524 QAE917524 QKA917524 QTW917524 RDS917524 RNO917524 RXK917524 SHG917524 SRC917524 TAY917524 TKU917524 TUQ917524 UEM917524 UOI917524 UYE917524 VIA917524 VRW917524 WBS917524 WLO917524 WVK917524 B983059 IY983060 SU983060 ACQ983060 AMM983060 AWI983060 BGE983060 BQA983060 BZW983060 CJS983060 CTO983060 DDK983060 DNG983060 DXC983060 EGY983060 EQU983060 FAQ983060 FKM983060 FUI983060 GEE983060 GOA983060 GXW983060 HHS983060 HRO983060 IBK983060 ILG983060 IVC983060 JEY983060 JOU983060 JYQ983060 KIM983060 KSI983060 LCE983060 LMA983060 LVW983060 MFS983060 MPO983060 MZK983060 NJG983060 NTC983060 OCY983060 OMU983060 OWQ983060 PGM983060 PQI983060 QAE983060 QKA983060 QTW983060 RDS983060 RNO983060 RXK983060 SHG983060 SRC983060 TAY983060 TKU983060 TUQ983060 UEM983060 UOI983060 UYE983060 VIA983060 VRW983060 WBS983060 WLO983060 WVK983060" xr:uid="{00000000-0002-0000-0000-000000000000}">
      <formula1>"1,2"</formula1>
    </dataValidation>
    <dataValidation type="whole" errorStyle="warning" operator="greaterThanOrEqual" allowBlank="1" showInputMessage="1" showErrorMessage="1" errorTitle="入力内容を確認してください" error="数値を入力してください" sqref="D65545:F65552 IZ5:JB12 SV5:SX12 ACR5:ACT12 AMN5:AMP12 AWJ5:AWL12 BGF5:BGH12 BQB5:BQD12 BZX5:BZZ12 CJT5:CJV12 CTP5:CTR12 DDL5:DDN12 DNH5:DNJ12 DXD5:DXF12 EGZ5:EHB12 EQV5:EQX12 FAR5:FAT12 FKN5:FKP12 FUJ5:FUL12 GEF5:GEH12 GOB5:GOD12 GXX5:GXZ12 HHT5:HHV12 HRP5:HRR12 IBL5:IBN12 ILH5:ILJ12 IVD5:IVF12 JEZ5:JFB12 JOV5:JOX12 JYR5:JYT12 KIN5:KIP12 KSJ5:KSL12 LCF5:LCH12 LMB5:LMD12 LVX5:LVZ12 MFT5:MFV12 MPP5:MPR12 MZL5:MZN12 NJH5:NJJ12 NTD5:NTF12 OCZ5:ODB12 OMV5:OMX12 OWR5:OWT12 PGN5:PGP12 PQJ5:PQL12 QAF5:QAH12 QKB5:QKD12 QTX5:QTZ12 RDT5:RDV12 RNP5:RNR12 RXL5:RXN12 SHH5:SHJ12 SRD5:SRF12 TAZ5:TBB12 TKV5:TKX12 TUR5:TUT12 UEN5:UEP12 UOJ5:UOL12 UYF5:UYH12 VIB5:VID12 VRX5:VRZ12 WBT5:WBV12 WLP5:WLR12 WVL5:WVN12 JA65546:JC65553 SW65546:SY65553 ACS65546:ACU65553 AMO65546:AMQ65553 AWK65546:AWM65553 BGG65546:BGI65553 BQC65546:BQE65553 BZY65546:CAA65553 CJU65546:CJW65553 CTQ65546:CTS65553 DDM65546:DDO65553 DNI65546:DNK65553 DXE65546:DXG65553 EHA65546:EHC65553 EQW65546:EQY65553 FAS65546:FAU65553 FKO65546:FKQ65553 FUK65546:FUM65553 GEG65546:GEI65553 GOC65546:GOE65553 GXY65546:GYA65553 HHU65546:HHW65553 HRQ65546:HRS65553 IBM65546:IBO65553 ILI65546:ILK65553 IVE65546:IVG65553 JFA65546:JFC65553 JOW65546:JOY65553 JYS65546:JYU65553 KIO65546:KIQ65553 KSK65546:KSM65553 LCG65546:LCI65553 LMC65546:LME65553 LVY65546:LWA65553 MFU65546:MFW65553 MPQ65546:MPS65553 MZM65546:MZO65553 NJI65546:NJK65553 NTE65546:NTG65553 ODA65546:ODC65553 OMW65546:OMY65553 OWS65546:OWU65553 PGO65546:PGQ65553 PQK65546:PQM65553 QAG65546:QAI65553 QKC65546:QKE65553 QTY65546:QUA65553 RDU65546:RDW65553 RNQ65546:RNS65553 RXM65546:RXO65553 SHI65546:SHK65553 SRE65546:SRG65553 TBA65546:TBC65553 TKW65546:TKY65553 TUS65546:TUU65553 UEO65546:UEQ65553 UOK65546:UOM65553 UYG65546:UYI65553 VIC65546:VIE65553 VRY65546:VSA65553 WBU65546:WBW65553 WLQ65546:WLS65553 WVM65546:WVO65553 JA131082:JC131089 SW131082:SY131089 ACS131082:ACU131089 AMO131082:AMQ131089 AWK131082:AWM131089 BGG131082:BGI131089 BQC131082:BQE131089 BZY131082:CAA131089 CJU131082:CJW131089 CTQ131082:CTS131089 DDM131082:DDO131089 DNI131082:DNK131089 DXE131082:DXG131089 EHA131082:EHC131089 EQW131082:EQY131089 FAS131082:FAU131089 FKO131082:FKQ131089 FUK131082:FUM131089 GEG131082:GEI131089 GOC131082:GOE131089 GXY131082:GYA131089 HHU131082:HHW131089 HRQ131082:HRS131089 IBM131082:IBO131089 ILI131082:ILK131089 IVE131082:IVG131089 JFA131082:JFC131089 JOW131082:JOY131089 JYS131082:JYU131089 KIO131082:KIQ131089 KSK131082:KSM131089 LCG131082:LCI131089 LMC131082:LME131089 LVY131082:LWA131089 MFU131082:MFW131089 MPQ131082:MPS131089 MZM131082:MZO131089 NJI131082:NJK131089 NTE131082:NTG131089 ODA131082:ODC131089 OMW131082:OMY131089 OWS131082:OWU131089 PGO131082:PGQ131089 PQK131082:PQM131089 QAG131082:QAI131089 QKC131082:QKE131089 QTY131082:QUA131089 RDU131082:RDW131089 RNQ131082:RNS131089 RXM131082:RXO131089 SHI131082:SHK131089 SRE131082:SRG131089 TBA131082:TBC131089 TKW131082:TKY131089 TUS131082:TUU131089 UEO131082:UEQ131089 UOK131082:UOM131089 UYG131082:UYI131089 VIC131082:VIE131089 VRY131082:VSA131089 WBU131082:WBW131089 WLQ131082:WLS131089 WVM131082:WVO131089 JA196618:JC196625 SW196618:SY196625 ACS196618:ACU196625 AMO196618:AMQ196625 AWK196618:AWM196625 BGG196618:BGI196625 BQC196618:BQE196625 BZY196618:CAA196625 CJU196618:CJW196625 CTQ196618:CTS196625 DDM196618:DDO196625 DNI196618:DNK196625 DXE196618:DXG196625 EHA196618:EHC196625 EQW196618:EQY196625 FAS196618:FAU196625 FKO196618:FKQ196625 FUK196618:FUM196625 GEG196618:GEI196625 GOC196618:GOE196625 GXY196618:GYA196625 HHU196618:HHW196625 HRQ196618:HRS196625 IBM196618:IBO196625 ILI196618:ILK196625 IVE196618:IVG196625 JFA196618:JFC196625 JOW196618:JOY196625 JYS196618:JYU196625 KIO196618:KIQ196625 KSK196618:KSM196625 LCG196618:LCI196625 LMC196618:LME196625 LVY196618:LWA196625 MFU196618:MFW196625 MPQ196618:MPS196625 MZM196618:MZO196625 NJI196618:NJK196625 NTE196618:NTG196625 ODA196618:ODC196625 OMW196618:OMY196625 OWS196618:OWU196625 PGO196618:PGQ196625 PQK196618:PQM196625 QAG196618:QAI196625 QKC196618:QKE196625 QTY196618:QUA196625 RDU196618:RDW196625 RNQ196618:RNS196625 RXM196618:RXO196625 SHI196618:SHK196625 SRE196618:SRG196625 TBA196618:TBC196625 TKW196618:TKY196625 TUS196618:TUU196625 UEO196618:UEQ196625 UOK196618:UOM196625 UYG196618:UYI196625 VIC196618:VIE196625 VRY196618:VSA196625 WBU196618:WBW196625 WLQ196618:WLS196625 WVM196618:WVO196625 JA262154:JC262161 SW262154:SY262161 ACS262154:ACU262161 AMO262154:AMQ262161 AWK262154:AWM262161 BGG262154:BGI262161 BQC262154:BQE262161 BZY262154:CAA262161 CJU262154:CJW262161 CTQ262154:CTS262161 DDM262154:DDO262161 DNI262154:DNK262161 DXE262154:DXG262161 EHA262154:EHC262161 EQW262154:EQY262161 FAS262154:FAU262161 FKO262154:FKQ262161 FUK262154:FUM262161 GEG262154:GEI262161 GOC262154:GOE262161 GXY262154:GYA262161 HHU262154:HHW262161 HRQ262154:HRS262161 IBM262154:IBO262161 ILI262154:ILK262161 IVE262154:IVG262161 JFA262154:JFC262161 JOW262154:JOY262161 JYS262154:JYU262161 KIO262154:KIQ262161 KSK262154:KSM262161 LCG262154:LCI262161 LMC262154:LME262161 LVY262154:LWA262161 MFU262154:MFW262161 MPQ262154:MPS262161 MZM262154:MZO262161 NJI262154:NJK262161 NTE262154:NTG262161 ODA262154:ODC262161 OMW262154:OMY262161 OWS262154:OWU262161 PGO262154:PGQ262161 PQK262154:PQM262161 QAG262154:QAI262161 QKC262154:QKE262161 QTY262154:QUA262161 RDU262154:RDW262161 RNQ262154:RNS262161 RXM262154:RXO262161 SHI262154:SHK262161 SRE262154:SRG262161 TBA262154:TBC262161 TKW262154:TKY262161 TUS262154:TUU262161 UEO262154:UEQ262161 UOK262154:UOM262161 UYG262154:UYI262161 VIC262154:VIE262161 VRY262154:VSA262161 WBU262154:WBW262161 WLQ262154:WLS262161 WVM262154:WVO262161 JA327690:JC327697 SW327690:SY327697 ACS327690:ACU327697 AMO327690:AMQ327697 AWK327690:AWM327697 BGG327690:BGI327697 BQC327690:BQE327697 BZY327690:CAA327697 CJU327690:CJW327697 CTQ327690:CTS327697 DDM327690:DDO327697 DNI327690:DNK327697 DXE327690:DXG327697 EHA327690:EHC327697 EQW327690:EQY327697 FAS327690:FAU327697 FKO327690:FKQ327697 FUK327690:FUM327697 GEG327690:GEI327697 GOC327690:GOE327697 GXY327690:GYA327697 HHU327690:HHW327697 HRQ327690:HRS327697 IBM327690:IBO327697 ILI327690:ILK327697 IVE327690:IVG327697 JFA327690:JFC327697 JOW327690:JOY327697 JYS327690:JYU327697 KIO327690:KIQ327697 KSK327690:KSM327697 LCG327690:LCI327697 LMC327690:LME327697 LVY327690:LWA327697 MFU327690:MFW327697 MPQ327690:MPS327697 MZM327690:MZO327697 NJI327690:NJK327697 NTE327690:NTG327697 ODA327690:ODC327697 OMW327690:OMY327697 OWS327690:OWU327697 PGO327690:PGQ327697 PQK327690:PQM327697 QAG327690:QAI327697 QKC327690:QKE327697 QTY327690:QUA327697 RDU327690:RDW327697 RNQ327690:RNS327697 RXM327690:RXO327697 SHI327690:SHK327697 SRE327690:SRG327697 TBA327690:TBC327697 TKW327690:TKY327697 TUS327690:TUU327697 UEO327690:UEQ327697 UOK327690:UOM327697 UYG327690:UYI327697 VIC327690:VIE327697 VRY327690:VSA327697 WBU327690:WBW327697 WLQ327690:WLS327697 WVM327690:WVO327697 JA393226:JC393233 SW393226:SY393233 ACS393226:ACU393233 AMO393226:AMQ393233 AWK393226:AWM393233 BGG393226:BGI393233 BQC393226:BQE393233 BZY393226:CAA393233 CJU393226:CJW393233 CTQ393226:CTS393233 DDM393226:DDO393233 DNI393226:DNK393233 DXE393226:DXG393233 EHA393226:EHC393233 EQW393226:EQY393233 FAS393226:FAU393233 FKO393226:FKQ393233 FUK393226:FUM393233 GEG393226:GEI393233 GOC393226:GOE393233 GXY393226:GYA393233 HHU393226:HHW393233 HRQ393226:HRS393233 IBM393226:IBO393233 ILI393226:ILK393233 IVE393226:IVG393233 JFA393226:JFC393233 JOW393226:JOY393233 JYS393226:JYU393233 KIO393226:KIQ393233 KSK393226:KSM393233 LCG393226:LCI393233 LMC393226:LME393233 LVY393226:LWA393233 MFU393226:MFW393233 MPQ393226:MPS393233 MZM393226:MZO393233 NJI393226:NJK393233 NTE393226:NTG393233 ODA393226:ODC393233 OMW393226:OMY393233 OWS393226:OWU393233 PGO393226:PGQ393233 PQK393226:PQM393233 QAG393226:QAI393233 QKC393226:QKE393233 QTY393226:QUA393233 RDU393226:RDW393233 RNQ393226:RNS393233 RXM393226:RXO393233 SHI393226:SHK393233 SRE393226:SRG393233 TBA393226:TBC393233 TKW393226:TKY393233 TUS393226:TUU393233 UEO393226:UEQ393233 UOK393226:UOM393233 UYG393226:UYI393233 VIC393226:VIE393233 VRY393226:VSA393233 WBU393226:WBW393233 WLQ393226:WLS393233 WVM393226:WVO393233 JA458762:JC458769 SW458762:SY458769 ACS458762:ACU458769 AMO458762:AMQ458769 AWK458762:AWM458769 BGG458762:BGI458769 BQC458762:BQE458769 BZY458762:CAA458769 CJU458762:CJW458769 CTQ458762:CTS458769 DDM458762:DDO458769 DNI458762:DNK458769 DXE458762:DXG458769 EHA458762:EHC458769 EQW458762:EQY458769 FAS458762:FAU458769 FKO458762:FKQ458769 FUK458762:FUM458769 GEG458762:GEI458769 GOC458762:GOE458769 GXY458762:GYA458769 HHU458762:HHW458769 HRQ458762:HRS458769 IBM458762:IBO458769 ILI458762:ILK458769 IVE458762:IVG458769 JFA458762:JFC458769 JOW458762:JOY458769 JYS458762:JYU458769 KIO458762:KIQ458769 KSK458762:KSM458769 LCG458762:LCI458769 LMC458762:LME458769 LVY458762:LWA458769 MFU458762:MFW458769 MPQ458762:MPS458769 MZM458762:MZO458769 NJI458762:NJK458769 NTE458762:NTG458769 ODA458762:ODC458769 OMW458762:OMY458769 OWS458762:OWU458769 PGO458762:PGQ458769 PQK458762:PQM458769 QAG458762:QAI458769 QKC458762:QKE458769 QTY458762:QUA458769 RDU458762:RDW458769 RNQ458762:RNS458769 RXM458762:RXO458769 SHI458762:SHK458769 SRE458762:SRG458769 TBA458762:TBC458769 TKW458762:TKY458769 TUS458762:TUU458769 UEO458762:UEQ458769 UOK458762:UOM458769 UYG458762:UYI458769 VIC458762:VIE458769 VRY458762:VSA458769 WBU458762:WBW458769 WLQ458762:WLS458769 WVM458762:WVO458769 JA524298:JC524305 SW524298:SY524305 ACS524298:ACU524305 AMO524298:AMQ524305 AWK524298:AWM524305 BGG524298:BGI524305 BQC524298:BQE524305 BZY524298:CAA524305 CJU524298:CJW524305 CTQ524298:CTS524305 DDM524298:DDO524305 DNI524298:DNK524305 DXE524298:DXG524305 EHA524298:EHC524305 EQW524298:EQY524305 FAS524298:FAU524305 FKO524298:FKQ524305 FUK524298:FUM524305 GEG524298:GEI524305 GOC524298:GOE524305 GXY524298:GYA524305 HHU524298:HHW524305 HRQ524298:HRS524305 IBM524298:IBO524305 ILI524298:ILK524305 IVE524298:IVG524305 JFA524298:JFC524305 JOW524298:JOY524305 JYS524298:JYU524305 KIO524298:KIQ524305 KSK524298:KSM524305 LCG524298:LCI524305 LMC524298:LME524305 LVY524298:LWA524305 MFU524298:MFW524305 MPQ524298:MPS524305 MZM524298:MZO524305 NJI524298:NJK524305 NTE524298:NTG524305 ODA524298:ODC524305 OMW524298:OMY524305 OWS524298:OWU524305 PGO524298:PGQ524305 PQK524298:PQM524305 QAG524298:QAI524305 QKC524298:QKE524305 QTY524298:QUA524305 RDU524298:RDW524305 RNQ524298:RNS524305 RXM524298:RXO524305 SHI524298:SHK524305 SRE524298:SRG524305 TBA524298:TBC524305 TKW524298:TKY524305 TUS524298:TUU524305 UEO524298:UEQ524305 UOK524298:UOM524305 UYG524298:UYI524305 VIC524298:VIE524305 VRY524298:VSA524305 WBU524298:WBW524305 WLQ524298:WLS524305 WVM524298:WVO524305 JA589834:JC589841 SW589834:SY589841 ACS589834:ACU589841 AMO589834:AMQ589841 AWK589834:AWM589841 BGG589834:BGI589841 BQC589834:BQE589841 BZY589834:CAA589841 CJU589834:CJW589841 CTQ589834:CTS589841 DDM589834:DDO589841 DNI589834:DNK589841 DXE589834:DXG589841 EHA589834:EHC589841 EQW589834:EQY589841 FAS589834:FAU589841 FKO589834:FKQ589841 FUK589834:FUM589841 GEG589834:GEI589841 GOC589834:GOE589841 GXY589834:GYA589841 HHU589834:HHW589841 HRQ589834:HRS589841 IBM589834:IBO589841 ILI589834:ILK589841 IVE589834:IVG589841 JFA589834:JFC589841 JOW589834:JOY589841 JYS589834:JYU589841 KIO589834:KIQ589841 KSK589834:KSM589841 LCG589834:LCI589841 LMC589834:LME589841 LVY589834:LWA589841 MFU589834:MFW589841 MPQ589834:MPS589841 MZM589834:MZO589841 NJI589834:NJK589841 NTE589834:NTG589841 ODA589834:ODC589841 OMW589834:OMY589841 OWS589834:OWU589841 PGO589834:PGQ589841 PQK589834:PQM589841 QAG589834:QAI589841 QKC589834:QKE589841 QTY589834:QUA589841 RDU589834:RDW589841 RNQ589834:RNS589841 RXM589834:RXO589841 SHI589834:SHK589841 SRE589834:SRG589841 TBA589834:TBC589841 TKW589834:TKY589841 TUS589834:TUU589841 UEO589834:UEQ589841 UOK589834:UOM589841 UYG589834:UYI589841 VIC589834:VIE589841 VRY589834:VSA589841 WBU589834:WBW589841 WLQ589834:WLS589841 WVM589834:WVO589841 JA655370:JC655377 SW655370:SY655377 ACS655370:ACU655377 AMO655370:AMQ655377 AWK655370:AWM655377 BGG655370:BGI655377 BQC655370:BQE655377 BZY655370:CAA655377 CJU655370:CJW655377 CTQ655370:CTS655377 DDM655370:DDO655377 DNI655370:DNK655377 DXE655370:DXG655377 EHA655370:EHC655377 EQW655370:EQY655377 FAS655370:FAU655377 FKO655370:FKQ655377 FUK655370:FUM655377 GEG655370:GEI655377 GOC655370:GOE655377 GXY655370:GYA655377 HHU655370:HHW655377 HRQ655370:HRS655377 IBM655370:IBO655377 ILI655370:ILK655377 IVE655370:IVG655377 JFA655370:JFC655377 JOW655370:JOY655377 JYS655370:JYU655377 KIO655370:KIQ655377 KSK655370:KSM655377 LCG655370:LCI655377 LMC655370:LME655377 LVY655370:LWA655377 MFU655370:MFW655377 MPQ655370:MPS655377 MZM655370:MZO655377 NJI655370:NJK655377 NTE655370:NTG655377 ODA655370:ODC655377 OMW655370:OMY655377 OWS655370:OWU655377 PGO655370:PGQ655377 PQK655370:PQM655377 QAG655370:QAI655377 QKC655370:QKE655377 QTY655370:QUA655377 RDU655370:RDW655377 RNQ655370:RNS655377 RXM655370:RXO655377 SHI655370:SHK655377 SRE655370:SRG655377 TBA655370:TBC655377 TKW655370:TKY655377 TUS655370:TUU655377 UEO655370:UEQ655377 UOK655370:UOM655377 UYG655370:UYI655377 VIC655370:VIE655377 VRY655370:VSA655377 WBU655370:WBW655377 WLQ655370:WLS655377 WVM655370:WVO655377 JA720906:JC720913 SW720906:SY720913 ACS720906:ACU720913 AMO720906:AMQ720913 AWK720906:AWM720913 BGG720906:BGI720913 BQC720906:BQE720913 BZY720906:CAA720913 CJU720906:CJW720913 CTQ720906:CTS720913 DDM720906:DDO720913 DNI720906:DNK720913 DXE720906:DXG720913 EHA720906:EHC720913 EQW720906:EQY720913 FAS720906:FAU720913 FKO720906:FKQ720913 FUK720906:FUM720913 GEG720906:GEI720913 GOC720906:GOE720913 GXY720906:GYA720913 HHU720906:HHW720913 HRQ720906:HRS720913 IBM720906:IBO720913 ILI720906:ILK720913 IVE720906:IVG720913 JFA720906:JFC720913 JOW720906:JOY720913 JYS720906:JYU720913 KIO720906:KIQ720913 KSK720906:KSM720913 LCG720906:LCI720913 LMC720906:LME720913 LVY720906:LWA720913 MFU720906:MFW720913 MPQ720906:MPS720913 MZM720906:MZO720913 NJI720906:NJK720913 NTE720906:NTG720913 ODA720906:ODC720913 OMW720906:OMY720913 OWS720906:OWU720913 PGO720906:PGQ720913 PQK720906:PQM720913 QAG720906:QAI720913 QKC720906:QKE720913 QTY720906:QUA720913 RDU720906:RDW720913 RNQ720906:RNS720913 RXM720906:RXO720913 SHI720906:SHK720913 SRE720906:SRG720913 TBA720906:TBC720913 TKW720906:TKY720913 TUS720906:TUU720913 UEO720906:UEQ720913 UOK720906:UOM720913 UYG720906:UYI720913 VIC720906:VIE720913 VRY720906:VSA720913 WBU720906:WBW720913 WLQ720906:WLS720913 WVM720906:WVO720913 JA786442:JC786449 SW786442:SY786449 ACS786442:ACU786449 AMO786442:AMQ786449 AWK786442:AWM786449 BGG786442:BGI786449 BQC786442:BQE786449 BZY786442:CAA786449 CJU786442:CJW786449 CTQ786442:CTS786449 DDM786442:DDO786449 DNI786442:DNK786449 DXE786442:DXG786449 EHA786442:EHC786449 EQW786442:EQY786449 FAS786442:FAU786449 FKO786442:FKQ786449 FUK786442:FUM786449 GEG786442:GEI786449 GOC786442:GOE786449 GXY786442:GYA786449 HHU786442:HHW786449 HRQ786442:HRS786449 IBM786442:IBO786449 ILI786442:ILK786449 IVE786442:IVG786449 JFA786442:JFC786449 JOW786442:JOY786449 JYS786442:JYU786449 KIO786442:KIQ786449 KSK786442:KSM786449 LCG786442:LCI786449 LMC786442:LME786449 LVY786442:LWA786449 MFU786442:MFW786449 MPQ786442:MPS786449 MZM786442:MZO786449 NJI786442:NJK786449 NTE786442:NTG786449 ODA786442:ODC786449 OMW786442:OMY786449 OWS786442:OWU786449 PGO786442:PGQ786449 PQK786442:PQM786449 QAG786442:QAI786449 QKC786442:QKE786449 QTY786442:QUA786449 RDU786442:RDW786449 RNQ786442:RNS786449 RXM786442:RXO786449 SHI786442:SHK786449 SRE786442:SRG786449 TBA786442:TBC786449 TKW786442:TKY786449 TUS786442:TUU786449 UEO786442:UEQ786449 UOK786442:UOM786449 UYG786442:UYI786449 VIC786442:VIE786449 VRY786442:VSA786449 WBU786442:WBW786449 WLQ786442:WLS786449 WVM786442:WVO786449 JA851978:JC851985 SW851978:SY851985 ACS851978:ACU851985 AMO851978:AMQ851985 AWK851978:AWM851985 BGG851978:BGI851985 BQC851978:BQE851985 BZY851978:CAA851985 CJU851978:CJW851985 CTQ851978:CTS851985 DDM851978:DDO851985 DNI851978:DNK851985 DXE851978:DXG851985 EHA851978:EHC851985 EQW851978:EQY851985 FAS851978:FAU851985 FKO851978:FKQ851985 FUK851978:FUM851985 GEG851978:GEI851985 GOC851978:GOE851985 GXY851978:GYA851985 HHU851978:HHW851985 HRQ851978:HRS851985 IBM851978:IBO851985 ILI851978:ILK851985 IVE851978:IVG851985 JFA851978:JFC851985 JOW851978:JOY851985 JYS851978:JYU851985 KIO851978:KIQ851985 KSK851978:KSM851985 LCG851978:LCI851985 LMC851978:LME851985 LVY851978:LWA851985 MFU851978:MFW851985 MPQ851978:MPS851985 MZM851978:MZO851985 NJI851978:NJK851985 NTE851978:NTG851985 ODA851978:ODC851985 OMW851978:OMY851985 OWS851978:OWU851985 PGO851978:PGQ851985 PQK851978:PQM851985 QAG851978:QAI851985 QKC851978:QKE851985 QTY851978:QUA851985 RDU851978:RDW851985 RNQ851978:RNS851985 RXM851978:RXO851985 SHI851978:SHK851985 SRE851978:SRG851985 TBA851978:TBC851985 TKW851978:TKY851985 TUS851978:TUU851985 UEO851978:UEQ851985 UOK851978:UOM851985 UYG851978:UYI851985 VIC851978:VIE851985 VRY851978:VSA851985 WBU851978:WBW851985 WLQ851978:WLS851985 WVM851978:WVO851985 JA917514:JC917521 SW917514:SY917521 ACS917514:ACU917521 AMO917514:AMQ917521 AWK917514:AWM917521 BGG917514:BGI917521 BQC917514:BQE917521 BZY917514:CAA917521 CJU917514:CJW917521 CTQ917514:CTS917521 DDM917514:DDO917521 DNI917514:DNK917521 DXE917514:DXG917521 EHA917514:EHC917521 EQW917514:EQY917521 FAS917514:FAU917521 FKO917514:FKQ917521 FUK917514:FUM917521 GEG917514:GEI917521 GOC917514:GOE917521 GXY917514:GYA917521 HHU917514:HHW917521 HRQ917514:HRS917521 IBM917514:IBO917521 ILI917514:ILK917521 IVE917514:IVG917521 JFA917514:JFC917521 JOW917514:JOY917521 JYS917514:JYU917521 KIO917514:KIQ917521 KSK917514:KSM917521 LCG917514:LCI917521 LMC917514:LME917521 LVY917514:LWA917521 MFU917514:MFW917521 MPQ917514:MPS917521 MZM917514:MZO917521 NJI917514:NJK917521 NTE917514:NTG917521 ODA917514:ODC917521 OMW917514:OMY917521 OWS917514:OWU917521 PGO917514:PGQ917521 PQK917514:PQM917521 QAG917514:QAI917521 QKC917514:QKE917521 QTY917514:QUA917521 RDU917514:RDW917521 RNQ917514:RNS917521 RXM917514:RXO917521 SHI917514:SHK917521 SRE917514:SRG917521 TBA917514:TBC917521 TKW917514:TKY917521 TUS917514:TUU917521 UEO917514:UEQ917521 UOK917514:UOM917521 UYG917514:UYI917521 VIC917514:VIE917521 VRY917514:VSA917521 WBU917514:WBW917521 WLQ917514:WLS917521 WVM917514:WVO917521 JA983050:JC983057 SW983050:SY983057 ACS983050:ACU983057 AMO983050:AMQ983057 AWK983050:AWM983057 BGG983050:BGI983057 BQC983050:BQE983057 BZY983050:CAA983057 CJU983050:CJW983057 CTQ983050:CTS983057 DDM983050:DDO983057 DNI983050:DNK983057 DXE983050:DXG983057 EHA983050:EHC983057 EQW983050:EQY983057 FAS983050:FAU983057 FKO983050:FKQ983057 FUK983050:FUM983057 GEG983050:GEI983057 GOC983050:GOE983057 GXY983050:GYA983057 HHU983050:HHW983057 HRQ983050:HRS983057 IBM983050:IBO983057 ILI983050:ILK983057 IVE983050:IVG983057 JFA983050:JFC983057 JOW983050:JOY983057 JYS983050:JYU983057 KIO983050:KIQ983057 KSK983050:KSM983057 LCG983050:LCI983057 LMC983050:LME983057 LVY983050:LWA983057 MFU983050:MFW983057 MPQ983050:MPS983057 MZM983050:MZO983057 NJI983050:NJK983057 NTE983050:NTG983057 ODA983050:ODC983057 OMW983050:OMY983057 OWS983050:OWU983057 PGO983050:PGQ983057 PQK983050:PQM983057 QAG983050:QAI983057 QKC983050:QKE983057 QTY983050:QUA983057 RDU983050:RDW983057 RNQ983050:RNS983057 RXM983050:RXO983057 SHI983050:SHK983057 SRE983050:SRG983057 TBA983050:TBC983057 TKW983050:TKY983057 TUS983050:TUU983057 UEO983050:UEQ983057 UOK983050:UOM983057 UYG983050:UYI983057 VIC983050:VIE983057 VRY983050:VSA983057 WBU983050:WBW983057 WLQ983050:WLS983057 WVM983050:WVO983057 D18 IZ18 SV18 ACR18 AMN18 AWJ18 BGF18 BQB18 BZX18 CJT18 CTP18 DDL18 DNH18 DXD18 EGZ18 EQV18 FAR18 FKN18 FUJ18 GEF18 GOB18 GXX18 HHT18 HRP18 IBL18 ILH18 IVD18 JEZ18 JOV18 JYR18 KIN18 KSJ18 LCF18 LMB18 LVX18 MFT18 MPP18 MZL18 NJH18 NTD18 OCZ18 OMV18 OWR18 PGN18 PQJ18 QAF18 QKB18 QTX18 RDT18 RNP18 RXL18 SHH18 SRD18 TAZ18 TKV18 TUR18 UEN18 UOJ18 UYF18 VIB18 VRX18 WBT18 WLP18 WVL18 C65558 IZ65559 SV65559 ACR65559 AMN65559 AWJ65559 BGF65559 BQB65559 BZX65559 CJT65559 CTP65559 DDL65559 DNH65559 DXD65559 EGZ65559 EQV65559 FAR65559 FKN65559 FUJ65559 GEF65559 GOB65559 GXX65559 HHT65559 HRP65559 IBL65559 ILH65559 IVD65559 JEZ65559 JOV65559 JYR65559 KIN65559 KSJ65559 LCF65559 LMB65559 LVX65559 MFT65559 MPP65559 MZL65559 NJH65559 NTD65559 OCZ65559 OMV65559 OWR65559 PGN65559 PQJ65559 QAF65559 QKB65559 QTX65559 RDT65559 RNP65559 RXL65559 SHH65559 SRD65559 TAZ65559 TKV65559 TUR65559 UEN65559 UOJ65559 UYF65559 VIB65559 VRX65559 WBT65559 WLP65559 WVL65559 C131094 IZ131095 SV131095 ACR131095 AMN131095 AWJ131095 BGF131095 BQB131095 BZX131095 CJT131095 CTP131095 DDL131095 DNH131095 DXD131095 EGZ131095 EQV131095 FAR131095 FKN131095 FUJ131095 GEF131095 GOB131095 GXX131095 HHT131095 HRP131095 IBL131095 ILH131095 IVD131095 JEZ131095 JOV131095 JYR131095 KIN131095 KSJ131095 LCF131095 LMB131095 LVX131095 MFT131095 MPP131095 MZL131095 NJH131095 NTD131095 OCZ131095 OMV131095 OWR131095 PGN131095 PQJ131095 QAF131095 QKB131095 QTX131095 RDT131095 RNP131095 RXL131095 SHH131095 SRD131095 TAZ131095 TKV131095 TUR131095 UEN131095 UOJ131095 UYF131095 VIB131095 VRX131095 WBT131095 WLP131095 WVL131095 C196630 IZ196631 SV196631 ACR196631 AMN196631 AWJ196631 BGF196631 BQB196631 BZX196631 CJT196631 CTP196631 DDL196631 DNH196631 DXD196631 EGZ196631 EQV196631 FAR196631 FKN196631 FUJ196631 GEF196631 GOB196631 GXX196631 HHT196631 HRP196631 IBL196631 ILH196631 IVD196631 JEZ196631 JOV196631 JYR196631 KIN196631 KSJ196631 LCF196631 LMB196631 LVX196631 MFT196631 MPP196631 MZL196631 NJH196631 NTD196631 OCZ196631 OMV196631 OWR196631 PGN196631 PQJ196631 QAF196631 QKB196631 QTX196631 RDT196631 RNP196631 RXL196631 SHH196631 SRD196631 TAZ196631 TKV196631 TUR196631 UEN196631 UOJ196631 UYF196631 VIB196631 VRX196631 WBT196631 WLP196631 WVL196631 C262166 IZ262167 SV262167 ACR262167 AMN262167 AWJ262167 BGF262167 BQB262167 BZX262167 CJT262167 CTP262167 DDL262167 DNH262167 DXD262167 EGZ262167 EQV262167 FAR262167 FKN262167 FUJ262167 GEF262167 GOB262167 GXX262167 HHT262167 HRP262167 IBL262167 ILH262167 IVD262167 JEZ262167 JOV262167 JYR262167 KIN262167 KSJ262167 LCF262167 LMB262167 LVX262167 MFT262167 MPP262167 MZL262167 NJH262167 NTD262167 OCZ262167 OMV262167 OWR262167 PGN262167 PQJ262167 QAF262167 QKB262167 QTX262167 RDT262167 RNP262167 RXL262167 SHH262167 SRD262167 TAZ262167 TKV262167 TUR262167 UEN262167 UOJ262167 UYF262167 VIB262167 VRX262167 WBT262167 WLP262167 WVL262167 C327702 IZ327703 SV327703 ACR327703 AMN327703 AWJ327703 BGF327703 BQB327703 BZX327703 CJT327703 CTP327703 DDL327703 DNH327703 DXD327703 EGZ327703 EQV327703 FAR327703 FKN327703 FUJ327703 GEF327703 GOB327703 GXX327703 HHT327703 HRP327703 IBL327703 ILH327703 IVD327703 JEZ327703 JOV327703 JYR327703 KIN327703 KSJ327703 LCF327703 LMB327703 LVX327703 MFT327703 MPP327703 MZL327703 NJH327703 NTD327703 OCZ327703 OMV327703 OWR327703 PGN327703 PQJ327703 QAF327703 QKB327703 QTX327703 RDT327703 RNP327703 RXL327703 SHH327703 SRD327703 TAZ327703 TKV327703 TUR327703 UEN327703 UOJ327703 UYF327703 VIB327703 VRX327703 WBT327703 WLP327703 WVL327703 C393238 IZ393239 SV393239 ACR393239 AMN393239 AWJ393239 BGF393239 BQB393239 BZX393239 CJT393239 CTP393239 DDL393239 DNH393239 DXD393239 EGZ393239 EQV393239 FAR393239 FKN393239 FUJ393239 GEF393239 GOB393239 GXX393239 HHT393239 HRP393239 IBL393239 ILH393239 IVD393239 JEZ393239 JOV393239 JYR393239 KIN393239 KSJ393239 LCF393239 LMB393239 LVX393239 MFT393239 MPP393239 MZL393239 NJH393239 NTD393239 OCZ393239 OMV393239 OWR393239 PGN393239 PQJ393239 QAF393239 QKB393239 QTX393239 RDT393239 RNP393239 RXL393239 SHH393239 SRD393239 TAZ393239 TKV393239 TUR393239 UEN393239 UOJ393239 UYF393239 VIB393239 VRX393239 WBT393239 WLP393239 WVL393239 C458774 IZ458775 SV458775 ACR458775 AMN458775 AWJ458775 BGF458775 BQB458775 BZX458775 CJT458775 CTP458775 DDL458775 DNH458775 DXD458775 EGZ458775 EQV458775 FAR458775 FKN458775 FUJ458775 GEF458775 GOB458775 GXX458775 HHT458775 HRP458775 IBL458775 ILH458775 IVD458775 JEZ458775 JOV458775 JYR458775 KIN458775 KSJ458775 LCF458775 LMB458775 LVX458775 MFT458775 MPP458775 MZL458775 NJH458775 NTD458775 OCZ458775 OMV458775 OWR458775 PGN458775 PQJ458775 QAF458775 QKB458775 QTX458775 RDT458775 RNP458775 RXL458775 SHH458775 SRD458775 TAZ458775 TKV458775 TUR458775 UEN458775 UOJ458775 UYF458775 VIB458775 VRX458775 WBT458775 WLP458775 WVL458775 C524310 IZ524311 SV524311 ACR524311 AMN524311 AWJ524311 BGF524311 BQB524311 BZX524311 CJT524311 CTP524311 DDL524311 DNH524311 DXD524311 EGZ524311 EQV524311 FAR524311 FKN524311 FUJ524311 GEF524311 GOB524311 GXX524311 HHT524311 HRP524311 IBL524311 ILH524311 IVD524311 JEZ524311 JOV524311 JYR524311 KIN524311 KSJ524311 LCF524311 LMB524311 LVX524311 MFT524311 MPP524311 MZL524311 NJH524311 NTD524311 OCZ524311 OMV524311 OWR524311 PGN524311 PQJ524311 QAF524311 QKB524311 QTX524311 RDT524311 RNP524311 RXL524311 SHH524311 SRD524311 TAZ524311 TKV524311 TUR524311 UEN524311 UOJ524311 UYF524311 VIB524311 VRX524311 WBT524311 WLP524311 WVL524311 C589846 IZ589847 SV589847 ACR589847 AMN589847 AWJ589847 BGF589847 BQB589847 BZX589847 CJT589847 CTP589847 DDL589847 DNH589847 DXD589847 EGZ589847 EQV589847 FAR589847 FKN589847 FUJ589847 GEF589847 GOB589847 GXX589847 HHT589847 HRP589847 IBL589847 ILH589847 IVD589847 JEZ589847 JOV589847 JYR589847 KIN589847 KSJ589847 LCF589847 LMB589847 LVX589847 MFT589847 MPP589847 MZL589847 NJH589847 NTD589847 OCZ589847 OMV589847 OWR589847 PGN589847 PQJ589847 QAF589847 QKB589847 QTX589847 RDT589847 RNP589847 RXL589847 SHH589847 SRD589847 TAZ589847 TKV589847 TUR589847 UEN589847 UOJ589847 UYF589847 VIB589847 VRX589847 WBT589847 WLP589847 WVL589847 C655382 IZ655383 SV655383 ACR655383 AMN655383 AWJ655383 BGF655383 BQB655383 BZX655383 CJT655383 CTP655383 DDL655383 DNH655383 DXD655383 EGZ655383 EQV655383 FAR655383 FKN655383 FUJ655383 GEF655383 GOB655383 GXX655383 HHT655383 HRP655383 IBL655383 ILH655383 IVD655383 JEZ655383 JOV655383 JYR655383 KIN655383 KSJ655383 LCF655383 LMB655383 LVX655383 MFT655383 MPP655383 MZL655383 NJH655383 NTD655383 OCZ655383 OMV655383 OWR655383 PGN655383 PQJ655383 QAF655383 QKB655383 QTX655383 RDT655383 RNP655383 RXL655383 SHH655383 SRD655383 TAZ655383 TKV655383 TUR655383 UEN655383 UOJ655383 UYF655383 VIB655383 VRX655383 WBT655383 WLP655383 WVL655383 C720918 IZ720919 SV720919 ACR720919 AMN720919 AWJ720919 BGF720919 BQB720919 BZX720919 CJT720919 CTP720919 DDL720919 DNH720919 DXD720919 EGZ720919 EQV720919 FAR720919 FKN720919 FUJ720919 GEF720919 GOB720919 GXX720919 HHT720919 HRP720919 IBL720919 ILH720919 IVD720919 JEZ720919 JOV720919 JYR720919 KIN720919 KSJ720919 LCF720919 LMB720919 LVX720919 MFT720919 MPP720919 MZL720919 NJH720919 NTD720919 OCZ720919 OMV720919 OWR720919 PGN720919 PQJ720919 QAF720919 QKB720919 QTX720919 RDT720919 RNP720919 RXL720919 SHH720919 SRD720919 TAZ720919 TKV720919 TUR720919 UEN720919 UOJ720919 UYF720919 VIB720919 VRX720919 WBT720919 WLP720919 WVL720919 C786454 IZ786455 SV786455 ACR786455 AMN786455 AWJ786455 BGF786455 BQB786455 BZX786455 CJT786455 CTP786455 DDL786455 DNH786455 DXD786455 EGZ786455 EQV786455 FAR786455 FKN786455 FUJ786455 GEF786455 GOB786455 GXX786455 HHT786455 HRP786455 IBL786455 ILH786455 IVD786455 JEZ786455 JOV786455 JYR786455 KIN786455 KSJ786455 LCF786455 LMB786455 LVX786455 MFT786455 MPP786455 MZL786455 NJH786455 NTD786455 OCZ786455 OMV786455 OWR786455 PGN786455 PQJ786455 QAF786455 QKB786455 QTX786455 RDT786455 RNP786455 RXL786455 SHH786455 SRD786455 TAZ786455 TKV786455 TUR786455 UEN786455 UOJ786455 UYF786455 VIB786455 VRX786455 WBT786455 WLP786455 WVL786455 C851990 IZ851991 SV851991 ACR851991 AMN851991 AWJ851991 BGF851991 BQB851991 BZX851991 CJT851991 CTP851991 DDL851991 DNH851991 DXD851991 EGZ851991 EQV851991 FAR851991 FKN851991 FUJ851991 GEF851991 GOB851991 GXX851991 HHT851991 HRP851991 IBL851991 ILH851991 IVD851991 JEZ851991 JOV851991 JYR851991 KIN851991 KSJ851991 LCF851991 LMB851991 LVX851991 MFT851991 MPP851991 MZL851991 NJH851991 NTD851991 OCZ851991 OMV851991 OWR851991 PGN851991 PQJ851991 QAF851991 QKB851991 QTX851991 RDT851991 RNP851991 RXL851991 SHH851991 SRD851991 TAZ851991 TKV851991 TUR851991 UEN851991 UOJ851991 UYF851991 VIB851991 VRX851991 WBT851991 WLP851991 WVL851991 C917526 IZ917527 SV917527 ACR917527 AMN917527 AWJ917527 BGF917527 BQB917527 BZX917527 CJT917527 CTP917527 DDL917527 DNH917527 DXD917527 EGZ917527 EQV917527 FAR917527 FKN917527 FUJ917527 GEF917527 GOB917527 GXX917527 HHT917527 HRP917527 IBL917527 ILH917527 IVD917527 JEZ917527 JOV917527 JYR917527 KIN917527 KSJ917527 LCF917527 LMB917527 LVX917527 MFT917527 MPP917527 MZL917527 NJH917527 NTD917527 OCZ917527 OMV917527 OWR917527 PGN917527 PQJ917527 QAF917527 QKB917527 QTX917527 RDT917527 RNP917527 RXL917527 SHH917527 SRD917527 TAZ917527 TKV917527 TUR917527 UEN917527 UOJ917527 UYF917527 VIB917527 VRX917527 WBT917527 WLP917527 WVL917527 C983062 IZ983063 SV983063 ACR983063 AMN983063 AWJ983063 BGF983063 BQB983063 BZX983063 CJT983063 CTP983063 DDL983063 DNH983063 DXD983063 EGZ983063 EQV983063 FAR983063 FKN983063 FUJ983063 GEF983063 GOB983063 GXX983063 HHT983063 HRP983063 IBL983063 ILH983063 IVD983063 JEZ983063 JOV983063 JYR983063 KIN983063 KSJ983063 LCF983063 LMB983063 LVX983063 MFT983063 MPP983063 MZL983063 NJH983063 NTD983063 OCZ983063 OMV983063 OWR983063 PGN983063 PQJ983063 QAF983063 QKB983063 QTX983063 RDT983063 RNP983063 RXL983063 SHH983063 SRD983063 TAZ983063 TKV983063 TUR983063 UEN983063 UOJ983063 UYF983063 VIB983063 VRX983063 WBT983063 WLP983063 WVL983063 D983049:F983056 D917513:F917520 D851977:F851984 D786441:F786448 D720905:F720912 D655369:F655376 D589833:F589840 D524297:F524304 D458761:F458768 D393225:F393232 D327689:F327696 D262153:F262160 D196617:F196624 D131081:F131088 D5:F12" xr:uid="{00000000-0002-0000-0000-000001000000}">
      <formula1>0</formula1>
    </dataValidation>
    <dataValidation type="list" allowBlank="1" showInputMessage="1" showErrorMessage="1" sqref="C18" xr:uid="{00000000-0002-0000-0000-000002000000}">
      <formula1>"給与,年金(65歳以上),年金(65歳未満),その他"</formula1>
    </dataValidation>
  </dataValidations>
  <pageMargins left="0.7" right="0.7" top="0.75" bottom="0.75" header="0.3" footer="0.3"/>
  <pageSetup paperSize="9" scale="53" orientation="portrait" r:id="rId1"/>
  <colBreaks count="1" manualBreakCount="1">
    <brk id="11" max="54"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1:M24"/>
  <sheetViews>
    <sheetView zoomScale="80" zoomScaleNormal="80" workbookViewId="0">
      <selection activeCell="F2" sqref="F2"/>
    </sheetView>
  </sheetViews>
  <sheetFormatPr defaultColWidth="9" defaultRowHeight="19.5" x14ac:dyDescent="0.15"/>
  <cols>
    <col min="1" max="1" width="6.375" style="5" customWidth="1"/>
    <col min="2" max="2" width="14.625" style="5" customWidth="1"/>
    <col min="3" max="3" width="3.75" style="5" bestFit="1" customWidth="1"/>
    <col min="4" max="4" width="14.25" style="5" bestFit="1" customWidth="1"/>
    <col min="5" max="5" width="3.75" style="5" bestFit="1" customWidth="1"/>
    <col min="6" max="6" width="20.375" style="5" customWidth="1"/>
    <col min="7" max="7" width="3.75" style="5" bestFit="1" customWidth="1"/>
    <col min="8" max="8" width="51.875" style="5" bestFit="1" customWidth="1"/>
    <col min="9" max="9" width="9" style="5"/>
    <col min="10" max="10" width="9" style="77"/>
    <col min="11" max="11" width="9" style="76"/>
    <col min="12" max="13" width="9" style="77"/>
    <col min="14" max="16384" width="9" style="5"/>
  </cols>
  <sheetData>
    <row r="1" spans="2:8" ht="20.25" thickBot="1" x14ac:dyDescent="0.2"/>
    <row r="2" spans="2:8" ht="30" customHeight="1" thickBot="1" x14ac:dyDescent="0.2">
      <c r="B2" s="213" t="s">
        <v>0</v>
      </c>
      <c r="C2" s="214"/>
      <c r="D2" s="214"/>
      <c r="E2" s="215"/>
      <c r="F2" s="1"/>
      <c r="G2" s="6" t="s">
        <v>1</v>
      </c>
      <c r="H2" s="5" t="s">
        <v>3</v>
      </c>
    </row>
    <row r="3" spans="2:8" ht="30" customHeight="1" thickBot="1" x14ac:dyDescent="0.2">
      <c r="B3" s="213" t="s">
        <v>64</v>
      </c>
      <c r="C3" s="214"/>
      <c r="D3" s="214"/>
      <c r="E3" s="215"/>
      <c r="F3" s="114">
        <f>IFERROR(SUM(F14:F18,H11),"")</f>
        <v>0</v>
      </c>
      <c r="G3" s="6" t="s">
        <v>1</v>
      </c>
    </row>
    <row r="4" spans="2:8" ht="22.5" customHeight="1" x14ac:dyDescent="0.15"/>
    <row r="5" spans="2:8" ht="20.25" thickBot="1" x14ac:dyDescent="0.2">
      <c r="B5" s="5" t="s">
        <v>62</v>
      </c>
    </row>
    <row r="6" spans="2:8" x14ac:dyDescent="0.15">
      <c r="B6" s="216" t="s">
        <v>63</v>
      </c>
      <c r="C6" s="217"/>
      <c r="D6" s="217"/>
      <c r="E6" s="217"/>
      <c r="F6" s="218" t="s">
        <v>95</v>
      </c>
      <c r="G6" s="219"/>
      <c r="H6" s="191" t="s">
        <v>55</v>
      </c>
    </row>
    <row r="7" spans="2:8" x14ac:dyDescent="0.15">
      <c r="B7" s="194" t="s">
        <v>52</v>
      </c>
      <c r="C7" s="195"/>
      <c r="D7" s="195"/>
      <c r="E7" s="195"/>
      <c r="F7" s="196" t="s">
        <v>110</v>
      </c>
      <c r="G7" s="197"/>
      <c r="H7" s="192"/>
    </row>
    <row r="8" spans="2:8" x14ac:dyDescent="0.15">
      <c r="B8" s="198" t="s">
        <v>53</v>
      </c>
      <c r="C8" s="199"/>
      <c r="D8" s="199"/>
      <c r="E8" s="199"/>
      <c r="F8" s="196" t="s">
        <v>93</v>
      </c>
      <c r="G8" s="197"/>
      <c r="H8" s="192"/>
    </row>
    <row r="9" spans="2:8" ht="20.25" thickBot="1" x14ac:dyDescent="0.2">
      <c r="B9" s="200" t="s">
        <v>54</v>
      </c>
      <c r="C9" s="201"/>
      <c r="D9" s="201"/>
      <c r="E9" s="201"/>
      <c r="F9" s="202" t="s">
        <v>93</v>
      </c>
      <c r="G9" s="203"/>
      <c r="H9" s="192"/>
    </row>
    <row r="10" spans="2:8" ht="21" thickTop="1" thickBot="1" x14ac:dyDescent="0.2">
      <c r="B10" s="204" t="s">
        <v>51</v>
      </c>
      <c r="C10" s="205"/>
      <c r="D10" s="205"/>
      <c r="E10" s="205"/>
      <c r="F10" s="206" t="str">
        <f>IF(F2&lt;8500000,"非該当",IF(AND(F6="",F7="",F8="",F9=""),"",IF(AND(F6="非該当",F7="なし",F8="なし",F9="なし"),"非該当",IF(F2&gt;10000000,150000,(F2-8500000)*0.1))))</f>
        <v>非該当</v>
      </c>
      <c r="G10" s="207"/>
      <c r="H10" s="193"/>
    </row>
    <row r="11" spans="2:8" ht="20.25" thickBot="1" x14ac:dyDescent="0.2">
      <c r="B11" s="208" t="s">
        <v>56</v>
      </c>
      <c r="C11" s="209"/>
      <c r="D11" s="209"/>
      <c r="E11" s="209"/>
      <c r="F11" s="209"/>
      <c r="G11" s="210"/>
      <c r="H11" s="109" t="str">
        <f>IFERROR(IF(F10="非該当",$F$19,IF(F10="非該当","",F19-F10)),"")</f>
        <v/>
      </c>
    </row>
    <row r="12" spans="2:8" ht="20.25" thickBot="1" x14ac:dyDescent="0.2"/>
    <row r="13" spans="2:8" ht="30" customHeight="1" x14ac:dyDescent="0.15">
      <c r="B13" s="211" t="s">
        <v>4</v>
      </c>
      <c r="C13" s="212"/>
      <c r="D13" s="212"/>
      <c r="E13" s="212"/>
      <c r="F13" s="211" t="s">
        <v>5</v>
      </c>
      <c r="G13" s="212"/>
      <c r="H13" s="16" t="s">
        <v>6</v>
      </c>
    </row>
    <row r="14" spans="2:8" ht="30" customHeight="1" x14ac:dyDescent="0.15">
      <c r="B14" s="3"/>
      <c r="C14" s="7" t="s">
        <v>2</v>
      </c>
      <c r="D14" s="8">
        <v>650999</v>
      </c>
      <c r="E14" s="8" t="s">
        <v>1</v>
      </c>
      <c r="F14" s="2" t="str">
        <f>IF(AND(F2&lt;=D14,F2&lt;&gt;""),0,"")</f>
        <v/>
      </c>
      <c r="G14" s="9" t="s">
        <v>1</v>
      </c>
      <c r="H14" s="10" t="s">
        <v>7</v>
      </c>
    </row>
    <row r="15" spans="2:8" ht="30" customHeight="1" x14ac:dyDescent="0.15">
      <c r="B15" s="2">
        <v>651000</v>
      </c>
      <c r="C15" s="11" t="s">
        <v>2</v>
      </c>
      <c r="D15" s="12">
        <v>1899999</v>
      </c>
      <c r="E15" s="12" t="s">
        <v>1</v>
      </c>
      <c r="F15" s="3" t="str">
        <f>IF(AND($F$2&lt;=D15,$F$2&gt;=B15),F2-650000,"")</f>
        <v/>
      </c>
      <c r="G15" s="13" t="s">
        <v>1</v>
      </c>
      <c r="H15" s="10" t="s">
        <v>104</v>
      </c>
    </row>
    <row r="16" spans="2:8" ht="30" customHeight="1" x14ac:dyDescent="0.15">
      <c r="B16" s="3">
        <v>1900000</v>
      </c>
      <c r="C16" s="7" t="s">
        <v>2</v>
      </c>
      <c r="D16" s="8">
        <v>3599999</v>
      </c>
      <c r="E16" s="12" t="s">
        <v>1</v>
      </c>
      <c r="F16" s="2" t="str">
        <f>IF(AND($F$2&lt;=D16,$F$2&gt;=B16),(ROUNDDOWN(F2/4,-3)*2.8)-80000,"")</f>
        <v/>
      </c>
      <c r="G16" s="9" t="s">
        <v>82</v>
      </c>
      <c r="H16" s="10" t="s">
        <v>106</v>
      </c>
    </row>
    <row r="17" spans="2:8" ht="30" customHeight="1" x14ac:dyDescent="0.15">
      <c r="B17" s="2">
        <v>3600000</v>
      </c>
      <c r="C17" s="11" t="s">
        <v>2</v>
      </c>
      <c r="D17" s="12">
        <v>6599999</v>
      </c>
      <c r="E17" s="12" t="s">
        <v>1</v>
      </c>
      <c r="F17" s="3" t="str">
        <f>IF(AND($F$2&lt;=D17,$F$2&gt;=B17),(ROUNDDOWN(F2/4,-3)*3.2)-440000,"")</f>
        <v/>
      </c>
      <c r="G17" s="13" t="s">
        <v>105</v>
      </c>
      <c r="H17" s="10" t="s">
        <v>107</v>
      </c>
    </row>
    <row r="18" spans="2:8" ht="30" customHeight="1" x14ac:dyDescent="0.15">
      <c r="B18" s="3">
        <v>6600000</v>
      </c>
      <c r="C18" s="7" t="s">
        <v>2</v>
      </c>
      <c r="D18" s="8">
        <v>8499999</v>
      </c>
      <c r="E18" s="12" t="s">
        <v>1</v>
      </c>
      <c r="F18" s="2" t="str">
        <f>IF(AND($F$2&gt;=B18,$F$2&lt;=D18),(F2*0.9)-1100000,"")</f>
        <v/>
      </c>
      <c r="G18" s="9" t="s">
        <v>105</v>
      </c>
      <c r="H18" s="10" t="s">
        <v>108</v>
      </c>
    </row>
    <row r="19" spans="2:8" ht="30" customHeight="1" thickBot="1" x14ac:dyDescent="0.2">
      <c r="B19" s="4">
        <v>8500000</v>
      </c>
      <c r="C19" s="15" t="s">
        <v>2</v>
      </c>
      <c r="D19" s="132"/>
      <c r="E19" s="132" t="s">
        <v>1</v>
      </c>
      <c r="F19" s="4" t="str">
        <f>IF($F$2&gt;=B19,F2-1950000,"")</f>
        <v/>
      </c>
      <c r="G19" s="14" t="s">
        <v>105</v>
      </c>
      <c r="H19" s="133" t="s">
        <v>109</v>
      </c>
    </row>
    <row r="20" spans="2:8" ht="30" customHeight="1" x14ac:dyDescent="0.15">
      <c r="B20" s="8"/>
      <c r="C20" s="7"/>
      <c r="D20" s="8"/>
      <c r="E20" s="8"/>
      <c r="F20" s="8"/>
      <c r="G20" s="13"/>
      <c r="H20" s="130"/>
    </row>
    <row r="21" spans="2:8" ht="30" customHeight="1" x14ac:dyDescent="0.15">
      <c r="B21" s="8"/>
      <c r="C21" s="7"/>
      <c r="D21" s="8"/>
      <c r="E21" s="8"/>
      <c r="F21" s="8"/>
      <c r="G21" s="13"/>
      <c r="H21" s="130"/>
    </row>
    <row r="22" spans="2:8" ht="30" customHeight="1" x14ac:dyDescent="0.15">
      <c r="B22" s="8"/>
      <c r="C22" s="7"/>
      <c r="D22" s="8"/>
      <c r="E22" s="8"/>
      <c r="F22" s="8"/>
      <c r="G22" s="13"/>
      <c r="H22" s="130"/>
    </row>
    <row r="23" spans="2:8" ht="30" customHeight="1" x14ac:dyDescent="0.15">
      <c r="B23" s="8"/>
      <c r="C23" s="7"/>
      <c r="D23" s="8"/>
      <c r="E23" s="8"/>
      <c r="F23" s="8"/>
      <c r="G23" s="13"/>
      <c r="H23" s="130"/>
    </row>
    <row r="24" spans="2:8" ht="30" customHeight="1" x14ac:dyDescent="0.15">
      <c r="B24" s="8"/>
      <c r="C24" s="7"/>
      <c r="D24" s="13"/>
      <c r="E24" s="13"/>
      <c r="F24" s="131"/>
      <c r="G24" s="13"/>
      <c r="H24" s="130"/>
    </row>
  </sheetData>
  <sheetProtection algorithmName="SHA-512" hashValue="ZUXOYZeO3JTc8PJnucsZqnOGT/tQDtGgEKT2tBI9TScB7lMPDcqsVfJ6isFn2l5oZbJcJLC8PlEpKmeQSec/9w==" saltValue="+vCXYIJXHpawnucokSbiNQ==" spinCount="100000" sheet="1" selectLockedCells="1"/>
  <mergeCells count="16">
    <mergeCell ref="B11:G11"/>
    <mergeCell ref="B13:E13"/>
    <mergeCell ref="F13:G13"/>
    <mergeCell ref="B2:E2"/>
    <mergeCell ref="B3:E3"/>
    <mergeCell ref="B6:E6"/>
    <mergeCell ref="F6:G6"/>
    <mergeCell ref="H6:H10"/>
    <mergeCell ref="B7:E7"/>
    <mergeCell ref="F7:G7"/>
    <mergeCell ref="B8:E8"/>
    <mergeCell ref="F8:G8"/>
    <mergeCell ref="B9:E9"/>
    <mergeCell ref="F9:G9"/>
    <mergeCell ref="B10:E10"/>
    <mergeCell ref="F10:G10"/>
  </mergeCells>
  <phoneticPr fontId="1"/>
  <conditionalFormatting sqref="F6:G9">
    <cfRule type="expression" dxfId="1" priority="1">
      <formula>$F$2&lt;8500000</formula>
    </cfRule>
    <cfRule type="expression" dxfId="0" priority="2">
      <formula>$F$24&gt;6549999</formula>
    </cfRule>
  </conditionalFormatting>
  <dataValidations count="2">
    <dataValidation type="list" allowBlank="1" showInputMessage="1" showErrorMessage="1" sqref="F6:G6" xr:uid="{00000000-0002-0000-0100-000000000000}">
      <formula1>"非該当,該当"</formula1>
    </dataValidation>
    <dataValidation type="list" allowBlank="1" showInputMessage="1" showErrorMessage="1" sqref="F7:G9" xr:uid="{00000000-0002-0000-0100-000001000000}">
      <formula1>"なし,あり"</formula1>
    </dataValidation>
  </dataValidations>
  <pageMargins left="0.7" right="0.7" top="0.75" bottom="0.75" header="0.3" footer="0.3"/>
  <pageSetup paperSize="9" scale="70"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fitToPage="1"/>
  </sheetPr>
  <dimension ref="B1:N23"/>
  <sheetViews>
    <sheetView zoomScale="85" zoomScaleNormal="85" workbookViewId="0">
      <selection activeCell="F2" sqref="F2:F3"/>
    </sheetView>
  </sheetViews>
  <sheetFormatPr defaultColWidth="9" defaultRowHeight="13.5" x14ac:dyDescent="0.15"/>
  <cols>
    <col min="1" max="1" width="9" style="29"/>
    <col min="2" max="2" width="16.375" style="29" bestFit="1" customWidth="1"/>
    <col min="3" max="3" width="3.75" style="29" bestFit="1" customWidth="1"/>
    <col min="4" max="4" width="14.875" style="29" bestFit="1" customWidth="1"/>
    <col min="5" max="5" width="3.75" style="29" bestFit="1" customWidth="1"/>
    <col min="6" max="6" width="25.625" style="29" customWidth="1"/>
    <col min="7" max="7" width="3.75" style="29" bestFit="1" customWidth="1"/>
    <col min="8" max="8" width="28.375" style="29" customWidth="1"/>
    <col min="9" max="9" width="26.875" style="29" customWidth="1"/>
    <col min="10" max="10" width="4" style="29" customWidth="1"/>
    <col min="11" max="11" width="27.375" style="29" customWidth="1"/>
    <col min="12" max="12" width="23.875" style="29" customWidth="1"/>
    <col min="13" max="13" width="4.25" style="29" bestFit="1" customWidth="1"/>
    <col min="14" max="14" width="28.375" style="29" customWidth="1"/>
    <col min="15" max="16384" width="9" style="29"/>
  </cols>
  <sheetData>
    <row r="1" spans="2:14" s="17" customFormat="1" ht="20.25" thickBot="1" x14ac:dyDescent="0.2"/>
    <row r="2" spans="2:14" s="17" customFormat="1" ht="30" customHeight="1" thickBot="1" x14ac:dyDescent="0.2">
      <c r="B2" s="220" t="s">
        <v>8</v>
      </c>
      <c r="C2" s="221"/>
      <c r="D2" s="221"/>
      <c r="E2" s="222"/>
      <c r="F2" s="1"/>
      <c r="G2" s="18" t="s">
        <v>1</v>
      </c>
      <c r="H2" s="17" t="s">
        <v>3</v>
      </c>
    </row>
    <row r="3" spans="2:14" s="17" customFormat="1" ht="30" customHeight="1" thickBot="1" x14ac:dyDescent="0.2">
      <c r="B3" s="220" t="s">
        <v>12</v>
      </c>
      <c r="C3" s="221"/>
      <c r="D3" s="221"/>
      <c r="E3" s="222"/>
      <c r="F3" s="1"/>
      <c r="G3" s="18" t="s">
        <v>11</v>
      </c>
    </row>
    <row r="4" spans="2:14" s="17" customFormat="1" ht="30" customHeight="1" thickBot="1" x14ac:dyDescent="0.5">
      <c r="B4" s="220" t="s">
        <v>89</v>
      </c>
      <c r="C4" s="221"/>
      <c r="D4" s="221"/>
      <c r="E4" s="222"/>
      <c r="F4" s="112" t="s" ph="1">
        <v>111</v>
      </c>
      <c r="G4" s="18" t="s">
        <v>1</v>
      </c>
    </row>
    <row r="5" spans="2:14" s="17" customFormat="1" ht="30" customHeight="1" thickBot="1" x14ac:dyDescent="0.2">
      <c r="B5" s="220" t="s">
        <v>92</v>
      </c>
      <c r="C5" s="221"/>
      <c r="D5" s="221"/>
      <c r="E5" s="222"/>
      <c r="F5" s="110">
        <f>SUM(F10:F14,I10:I14,L10:L14,F19:F23,I19:I23,L19:L23)</f>
        <v>0</v>
      </c>
      <c r="G5" s="18" t="s">
        <v>1</v>
      </c>
    </row>
    <row r="6" spans="2:14" s="17" customFormat="1" ht="13.5" customHeight="1" x14ac:dyDescent="0.15"/>
    <row r="7" spans="2:14" s="17" customFormat="1" ht="23.25" customHeight="1" thickBot="1" x14ac:dyDescent="0.2">
      <c r="B7" s="17" t="s">
        <v>65</v>
      </c>
    </row>
    <row r="8" spans="2:14" s="17" customFormat="1" ht="30" customHeight="1" x14ac:dyDescent="0.15">
      <c r="B8" s="223" t="s">
        <v>4</v>
      </c>
      <c r="C8" s="224"/>
      <c r="D8" s="224"/>
      <c r="E8" s="225"/>
      <c r="F8" s="229" t="s">
        <v>78</v>
      </c>
      <c r="G8" s="230"/>
      <c r="H8" s="231"/>
      <c r="I8" s="232" t="s">
        <v>79</v>
      </c>
      <c r="J8" s="233"/>
      <c r="K8" s="234"/>
      <c r="L8" s="232" t="s">
        <v>80</v>
      </c>
      <c r="M8" s="233"/>
      <c r="N8" s="234"/>
    </row>
    <row r="9" spans="2:14" s="17" customFormat="1" ht="30" customHeight="1" x14ac:dyDescent="0.15">
      <c r="B9" s="226"/>
      <c r="C9" s="227"/>
      <c r="D9" s="227"/>
      <c r="E9" s="228"/>
      <c r="F9" s="235" t="s">
        <v>9</v>
      </c>
      <c r="G9" s="236"/>
      <c r="H9" s="78" t="s">
        <v>6</v>
      </c>
      <c r="I9" s="237" t="s">
        <v>9</v>
      </c>
      <c r="J9" s="238"/>
      <c r="K9" s="79" t="s">
        <v>6</v>
      </c>
      <c r="L9" s="237" t="s">
        <v>9</v>
      </c>
      <c r="M9" s="238"/>
      <c r="N9" s="79" t="s">
        <v>6</v>
      </c>
    </row>
    <row r="10" spans="2:14" s="17" customFormat="1" ht="30" customHeight="1" x14ac:dyDescent="0.15">
      <c r="B10" s="22"/>
      <c r="C10" s="24" t="s">
        <v>2</v>
      </c>
      <c r="D10" s="25">
        <v>1299999</v>
      </c>
      <c r="E10" s="80" t="s">
        <v>1</v>
      </c>
      <c r="F10" s="19" t="str">
        <f>IF(F4="1000万円以下",IF(AND($F$3&lt;65,$F$3&gt;60,$F$2&lt;=$D$10,$F$2&gt;600000),$F$2-600000,IF(AND($F$3&lt;65,$F$3&gt;60,$F$2&lt;=600000),0,"")),"")</f>
        <v/>
      </c>
      <c r="G10" s="81" t="s">
        <v>1</v>
      </c>
      <c r="H10" s="82" t="s">
        <v>57</v>
      </c>
      <c r="I10" s="19" t="str">
        <f>IF(F4="1000～2000万円",IF(AND($F$3&lt;65,$F$3&gt;60,$F$2&lt;=$D$10,$F$2&gt;500000),$F$2-500000,IF(AND($F$3&lt;65,$F$3&gt;60,$F$2&lt;=500000),0,"")),"")</f>
        <v/>
      </c>
      <c r="J10" s="81" t="s">
        <v>1</v>
      </c>
      <c r="K10" s="82" t="s">
        <v>66</v>
      </c>
      <c r="L10" s="19" t="str">
        <f>IF(F4="2000万円以上",IF(AND($F$3&lt;65,$F$3&gt;60,$F$2&lt;=$D$10,$F$2&gt;400000),$F$2-400000,IF(AND($F$3&lt;65,$F$3&gt;60,$F$2&lt;=400000),0,"")),"")</f>
        <v/>
      </c>
      <c r="M10" s="81" t="s">
        <v>1</v>
      </c>
      <c r="N10" s="82" t="s">
        <v>72</v>
      </c>
    </row>
    <row r="11" spans="2:14" s="17" customFormat="1" ht="30" customHeight="1" x14ac:dyDescent="0.15">
      <c r="B11" s="19">
        <v>1300000</v>
      </c>
      <c r="C11" s="20" t="s">
        <v>2</v>
      </c>
      <c r="D11" s="21">
        <v>4099999</v>
      </c>
      <c r="E11" s="83" t="s">
        <v>1</v>
      </c>
      <c r="F11" s="22" t="str">
        <f>IF(F4="1000万円以下",IF(AND($F$3&lt;65,$F$3&gt;60,$F$2&lt;=$D$11,$F$2&gt;=$B$11),($F$2*0.75)-275000,""),"")</f>
        <v/>
      </c>
      <c r="G11" s="81" t="s">
        <v>1</v>
      </c>
      <c r="H11" s="82" t="s">
        <v>58</v>
      </c>
      <c r="I11" s="22" t="str">
        <f>IF(F4="1000～2000万円",IF(AND($F$3&lt;65,$F$3&gt;60,$F$2&lt;=$D$11,$F$2&gt;=$B$11),($F$2*0.75)-175000,""),"")</f>
        <v/>
      </c>
      <c r="J11" s="81" t="s">
        <v>1</v>
      </c>
      <c r="K11" s="82" t="s">
        <v>67</v>
      </c>
      <c r="L11" s="22" t="str">
        <f>IF(F4="2000万円以上",IF(AND($F$3&lt;65,$F$3&gt;60,$F$2&lt;=$D$11,$F$2&gt;=$B$11),($F$2*0.75)-75000,""),"")</f>
        <v/>
      </c>
      <c r="M11" s="81" t="s">
        <v>1</v>
      </c>
      <c r="N11" s="82" t="s">
        <v>73</v>
      </c>
    </row>
    <row r="12" spans="2:14" s="17" customFormat="1" ht="30" customHeight="1" x14ac:dyDescent="0.15">
      <c r="B12" s="22">
        <v>4100000</v>
      </c>
      <c r="C12" s="24" t="s">
        <v>2</v>
      </c>
      <c r="D12" s="25">
        <v>7699999</v>
      </c>
      <c r="E12" s="80" t="s">
        <v>1</v>
      </c>
      <c r="F12" s="22" t="str">
        <f>IF(F4="1000万円以下",IF(AND($F$3&lt;65,$F$3&gt;60,$F$2&lt;=$D$12,$F$2&gt;=$B$12),($F$2*0.85)-685000,""),"")</f>
        <v/>
      </c>
      <c r="G12" s="81" t="s">
        <v>1</v>
      </c>
      <c r="H12" s="82" t="s">
        <v>59</v>
      </c>
      <c r="I12" s="22" t="str">
        <f>IF(F4="1000～2000万円",IF(AND($F$3&lt;65,$F$3&gt;60,$F$2&lt;=$D$12,$F$2&gt;=$B$12),($F$2*0.85)-585000,""),"")</f>
        <v/>
      </c>
      <c r="J12" s="81" t="s">
        <v>1</v>
      </c>
      <c r="K12" s="82" t="s">
        <v>68</v>
      </c>
      <c r="L12" s="22" t="str">
        <f>IF(F4="2000万円以上",IF(AND($F$3&lt;65,$F$3&gt;60,$F$2&lt;=$D$12,$F$2&gt;=$B$12),($F$2*0.85)-485000,""),"")</f>
        <v/>
      </c>
      <c r="M12" s="81" t="s">
        <v>1</v>
      </c>
      <c r="N12" s="82" t="s">
        <v>74</v>
      </c>
    </row>
    <row r="13" spans="2:14" s="17" customFormat="1" ht="30" customHeight="1" x14ac:dyDescent="0.15">
      <c r="B13" s="19">
        <v>7700000</v>
      </c>
      <c r="C13" s="20" t="s">
        <v>2</v>
      </c>
      <c r="D13" s="21">
        <v>9999999</v>
      </c>
      <c r="E13" s="83" t="s">
        <v>1</v>
      </c>
      <c r="F13" s="84" t="str">
        <f>IF(F4="1000万円以下",IF(AND($F$3&lt;65,$F$3&gt;60,$F$2&gt;=$B$13,$F$2&lt;=$D$13),($F$2*0.95)-1455000,""),"")</f>
        <v/>
      </c>
      <c r="G13" s="85" t="s">
        <v>1</v>
      </c>
      <c r="H13" s="86" t="s">
        <v>60</v>
      </c>
      <c r="I13" s="84" t="str">
        <f>IF(F4="1000～2000万円",IF(AND($F$3&lt;65,$F$3&gt;60,$F$2&lt;=$D$13,$F$2&gt;=$B$13),($F$2*0.95)-1355000,""),"")</f>
        <v/>
      </c>
      <c r="J13" s="85" t="s">
        <v>1</v>
      </c>
      <c r="K13" s="86" t="s">
        <v>69</v>
      </c>
      <c r="L13" s="84" t="str">
        <f>IF(F4="2000万円以上",IF(AND($F$3&lt;65,$F$3&gt;60,$F$2&gt;=$B$13,$F$2&lt;=$D$13),($F$2*0.95)-1255000,""),"")</f>
        <v/>
      </c>
      <c r="M13" s="85" t="s">
        <v>1</v>
      </c>
      <c r="N13" s="86" t="s">
        <v>75</v>
      </c>
    </row>
    <row r="14" spans="2:14" s="17" customFormat="1" ht="30" customHeight="1" thickBot="1" x14ac:dyDescent="0.2">
      <c r="B14" s="27">
        <v>10000000</v>
      </c>
      <c r="C14" s="87" t="s">
        <v>2</v>
      </c>
      <c r="D14" s="88"/>
      <c r="E14" s="89"/>
      <c r="F14" s="27" t="str">
        <f>IF(F4="1000万円以下",IF(AND($F$3&lt;65,$F$3&gt;60,$F$2&gt;=$B$14),$F$2-1955000,""),"")</f>
        <v/>
      </c>
      <c r="G14" s="90" t="s">
        <v>1</v>
      </c>
      <c r="H14" s="91" t="s">
        <v>61</v>
      </c>
      <c r="I14" s="27" t="str">
        <f>IF(F4="1000～2000万円",IF(AND($F$3&lt;65,$F$2&gt;=$B$14),$F$2-1855000,""),"")</f>
        <v/>
      </c>
      <c r="J14" s="90" t="s">
        <v>1</v>
      </c>
      <c r="K14" s="91" t="s">
        <v>70</v>
      </c>
      <c r="L14" s="27" t="str">
        <f>IF(F4="2000万円以上",IF(AND($F$3&lt;65,$F$3&gt;60,$F$2&gt;=$B$14),$F$2-1755000,""),"")</f>
        <v/>
      </c>
      <c r="M14" s="90" t="s">
        <v>1</v>
      </c>
      <c r="N14" s="91" t="s">
        <v>76</v>
      </c>
    </row>
    <row r="15" spans="2:14" s="17" customFormat="1" ht="15" customHeight="1" x14ac:dyDescent="0.15"/>
    <row r="16" spans="2:14" s="17" customFormat="1" ht="21" customHeight="1" thickBot="1" x14ac:dyDescent="0.2">
      <c r="B16" s="17" t="s">
        <v>10</v>
      </c>
    </row>
    <row r="17" spans="2:14" s="17" customFormat="1" ht="30" customHeight="1" x14ac:dyDescent="0.15">
      <c r="B17" s="223" t="s">
        <v>4</v>
      </c>
      <c r="C17" s="224"/>
      <c r="D17" s="224"/>
      <c r="E17" s="225"/>
      <c r="F17" s="229" t="s">
        <v>78</v>
      </c>
      <c r="G17" s="230"/>
      <c r="H17" s="231"/>
      <c r="I17" s="232" t="s">
        <v>79</v>
      </c>
      <c r="J17" s="233"/>
      <c r="K17" s="234"/>
      <c r="L17" s="232" t="s">
        <v>80</v>
      </c>
      <c r="M17" s="233"/>
      <c r="N17" s="234"/>
    </row>
    <row r="18" spans="2:14" s="17" customFormat="1" ht="30" customHeight="1" x14ac:dyDescent="0.15">
      <c r="B18" s="226"/>
      <c r="C18" s="227"/>
      <c r="D18" s="227"/>
      <c r="E18" s="228"/>
      <c r="F18" s="235" t="s">
        <v>9</v>
      </c>
      <c r="G18" s="236"/>
      <c r="H18" s="78" t="s">
        <v>6</v>
      </c>
      <c r="I18" s="237" t="s">
        <v>9</v>
      </c>
      <c r="J18" s="238"/>
      <c r="K18" s="79" t="s">
        <v>6</v>
      </c>
      <c r="L18" s="237" t="s">
        <v>9</v>
      </c>
      <c r="M18" s="238"/>
      <c r="N18" s="79" t="s">
        <v>6</v>
      </c>
    </row>
    <row r="19" spans="2:14" s="17" customFormat="1" ht="30" customHeight="1" x14ac:dyDescent="0.15">
      <c r="B19" s="22"/>
      <c r="C19" s="24" t="s">
        <v>2</v>
      </c>
      <c r="D19" s="25">
        <v>3299999</v>
      </c>
      <c r="E19" s="80" t="s">
        <v>1</v>
      </c>
      <c r="F19" s="19" t="str">
        <f>IF(F4="1000万円以下",IF(AND($F$3&gt;=65,$F$2&lt;=$D$19,$F$2&gt;1100000),$F$2-1100000,IF(AND($F$3&gt;=65,$F$2&lt;=1100000),0,"")),"")</f>
        <v/>
      </c>
      <c r="G19" s="26" t="s">
        <v>1</v>
      </c>
      <c r="H19" s="82" t="s">
        <v>81</v>
      </c>
      <c r="I19" s="19" t="str">
        <f>IF(F4="1000～2000万円",IF(AND($F$3&gt;=65,$F$2&lt;=$D$19,$F$2&gt;1000000),$F$2-1000000,IF(AND($F$3&gt;=65,$F$2&lt;=1000000),0,"")),"")</f>
        <v/>
      </c>
      <c r="J19" s="26" t="s">
        <v>1</v>
      </c>
      <c r="K19" s="82" t="s">
        <v>71</v>
      </c>
      <c r="L19" s="19" t="str">
        <f>IF(F4="2000万円以上",IF(AND($F$3&gt;=65,$F$2&lt;=$D$19,$F$2&gt;900000),$F$2-900000,IF(AND($F$3&gt;=65,$F$2&lt;=900000),0,"")),"")</f>
        <v/>
      </c>
      <c r="M19" s="26" t="s">
        <v>1</v>
      </c>
      <c r="N19" s="82" t="s">
        <v>77</v>
      </c>
    </row>
    <row r="20" spans="2:14" s="17" customFormat="1" ht="30" customHeight="1" x14ac:dyDescent="0.15">
      <c r="B20" s="19">
        <v>3300000</v>
      </c>
      <c r="C20" s="20" t="s">
        <v>2</v>
      </c>
      <c r="D20" s="21">
        <v>4099999</v>
      </c>
      <c r="E20" s="83" t="s">
        <v>1</v>
      </c>
      <c r="F20" s="22" t="str">
        <f>IF(F4="1000万円以下",IF(AND($F$3&gt;=65,$F$2&lt;=$D$20,$F$2&gt;=$B$20),($F$2*0.75)-275000,""),"")</f>
        <v/>
      </c>
      <c r="G20" s="23" t="s">
        <v>1</v>
      </c>
      <c r="H20" s="82" t="s">
        <v>58</v>
      </c>
      <c r="I20" s="22" t="str">
        <f>IF(F4="1000～2000万円",IF(AND($F$3&gt;=65,$F$2&lt;=$D$20,$F$2&gt;=$B$20),($F$2*0.75)-175000,""),"")</f>
        <v/>
      </c>
      <c r="J20" s="23" t="s">
        <v>1</v>
      </c>
      <c r="K20" s="82" t="s">
        <v>67</v>
      </c>
      <c r="L20" s="22" t="str">
        <f>IF(F4="2000万円以上",IF(AND($F$3&gt;=65,$F$2&lt;=$D$20,$F$2&gt;=$B$20),($F$2*0.75)-75000,""),"")</f>
        <v/>
      </c>
      <c r="M20" s="23" t="s">
        <v>1</v>
      </c>
      <c r="N20" s="82" t="s">
        <v>73</v>
      </c>
    </row>
    <row r="21" spans="2:14" s="17" customFormat="1" ht="30" customHeight="1" x14ac:dyDescent="0.15">
      <c r="B21" s="22">
        <v>4100000</v>
      </c>
      <c r="C21" s="24" t="s">
        <v>2</v>
      </c>
      <c r="D21" s="25">
        <v>7699999</v>
      </c>
      <c r="E21" s="80" t="s">
        <v>1</v>
      </c>
      <c r="F21" s="19" t="str">
        <f>IF(F4="1000万円以下",IF(AND($F$3&gt;=65,$F$2&lt;=$D$21,$F$2&gt;=$B$21),($F$2*0.85)-685000,""),"")</f>
        <v/>
      </c>
      <c r="G21" s="26" t="s">
        <v>1</v>
      </c>
      <c r="H21" s="82" t="s">
        <v>59</v>
      </c>
      <c r="I21" s="19" t="str">
        <f>IF(F4="1000～2000万円",IF(AND($F$3&gt;=65,$F$2&lt;=$D$21,$F$2&gt;=$B$21),($F$2*0.85)-585000,""),"")</f>
        <v/>
      </c>
      <c r="J21" s="26" t="s">
        <v>1</v>
      </c>
      <c r="K21" s="82" t="s">
        <v>68</v>
      </c>
      <c r="L21" s="19" t="str">
        <f>IF(F4="2000万円以上",IF(AND($F$3&gt;=65,$F$2&lt;=$D$21,$F$2&gt;=$B$21),($F$2*0.85)-485000,""),"")</f>
        <v/>
      </c>
      <c r="M21" s="26" t="s">
        <v>1</v>
      </c>
      <c r="N21" s="82" t="s">
        <v>74</v>
      </c>
    </row>
    <row r="22" spans="2:14" s="17" customFormat="1" ht="30" customHeight="1" x14ac:dyDescent="0.15">
      <c r="B22" s="19">
        <v>7700000</v>
      </c>
      <c r="C22" s="20" t="s">
        <v>2</v>
      </c>
      <c r="D22" s="21">
        <v>9999999</v>
      </c>
      <c r="E22" s="83" t="s">
        <v>1</v>
      </c>
      <c r="F22" s="84" t="str">
        <f>IF(F4="1000万円以下",IF(AND($F$3&gt;=65,$F$2&gt;=$B$22,$F$2&lt;=$D$22),($F$2*0.95)-1455000,""),"")</f>
        <v/>
      </c>
      <c r="G22" s="92" t="s">
        <v>1</v>
      </c>
      <c r="H22" s="86" t="s">
        <v>60</v>
      </c>
      <c r="I22" s="84" t="str">
        <f>IF(F4="1000～2000万円",IF(AND($F$3&gt;=65,$F$2&gt;=$B$22,$F$2&lt;=$D$22),($F$2*0.95)-1355000,""),"")</f>
        <v/>
      </c>
      <c r="J22" s="92" t="s">
        <v>1</v>
      </c>
      <c r="K22" s="86" t="s">
        <v>69</v>
      </c>
      <c r="L22" s="84" t="str">
        <f>IF(F4="2000万円以上",IF(AND($F$3&gt;=65,$F$2&gt;=$B$22,$F$2&lt;=$D$22),($F$2*0.95)-1255000,""),"")</f>
        <v/>
      </c>
      <c r="M22" s="92" t="s">
        <v>1</v>
      </c>
      <c r="N22" s="86" t="s">
        <v>75</v>
      </c>
    </row>
    <row r="23" spans="2:14" ht="32.25" customHeight="1" thickBot="1" x14ac:dyDescent="0.2">
      <c r="B23" s="27">
        <v>10000000</v>
      </c>
      <c r="C23" s="87" t="s">
        <v>2</v>
      </c>
      <c r="D23" s="28"/>
      <c r="E23" s="93" t="s">
        <v>82</v>
      </c>
      <c r="F23" s="27" t="str">
        <f>IF(F4="1000万円以下",IF(AND($F$3&gt;=65,$F$2&gt;=$B$23,$F$2&lt;&gt;""),$F$2-1955000,""),"")</f>
        <v/>
      </c>
      <c r="G23" s="28" t="s">
        <v>82</v>
      </c>
      <c r="H23" s="91" t="s">
        <v>61</v>
      </c>
      <c r="I23" s="27" t="str">
        <f>IF(F4="1000～2000万円",IF(AND($F$3&gt;=65,$F$2&gt;=$B$23,$F$2&lt;&gt;""),$F$2-1855000,""),"")</f>
        <v/>
      </c>
      <c r="J23" s="28" t="s">
        <v>82</v>
      </c>
      <c r="K23" s="91" t="s">
        <v>70</v>
      </c>
      <c r="L23" s="27" t="str">
        <f>IF(F4="2000万円以上",IF(AND($F$3&gt;=65,$F$2&gt;=$B$23,$F$2&lt;&gt;""),$F$2-1755000,""),"")</f>
        <v/>
      </c>
      <c r="M23" s="28" t="s">
        <v>82</v>
      </c>
      <c r="N23" s="91" t="s">
        <v>76</v>
      </c>
    </row>
  </sheetData>
  <sheetProtection algorithmName="SHA-512" hashValue="g2Bkg+GmqjhXI6tGKB7Qb0B96yFwtx7kBlvK/LPKMFDieLTbatRkmYGlsEvmZka+v4nxNTTKpQVa7ACo3IguaQ==" saltValue="ZcTJhEZXBQvsM1rJRV6i4A==" spinCount="100000" sheet="1" selectLockedCells="1"/>
  <mergeCells count="18">
    <mergeCell ref="I8:K8"/>
    <mergeCell ref="L8:N8"/>
    <mergeCell ref="F9:G9"/>
    <mergeCell ref="I9:J9"/>
    <mergeCell ref="L9:M9"/>
    <mergeCell ref="F8:H8"/>
    <mergeCell ref="B17:E18"/>
    <mergeCell ref="F17:H17"/>
    <mergeCell ref="I17:K17"/>
    <mergeCell ref="L17:N17"/>
    <mergeCell ref="F18:G18"/>
    <mergeCell ref="I18:J18"/>
    <mergeCell ref="L18:M18"/>
    <mergeCell ref="B2:E2"/>
    <mergeCell ref="B3:E3"/>
    <mergeCell ref="B4:E4"/>
    <mergeCell ref="B5:E5"/>
    <mergeCell ref="B8:E9"/>
  </mergeCells>
  <phoneticPr fontId="1"/>
  <dataValidations count="1">
    <dataValidation type="list" allowBlank="1" showInputMessage="1" showErrorMessage="1" sqref="F4" xr:uid="{00000000-0002-0000-0200-000000000000}">
      <formula1>"1000万円以下,1000～2000万円,2000万円以上"</formula1>
    </dataValidation>
  </dataValidations>
  <pageMargins left="0.7" right="0.7" top="0.75" bottom="0.75" header="0.3" footer="0.3"/>
  <pageSetup paperSize="9" scale="6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3"/>
  <sheetViews>
    <sheetView zoomScale="70" zoomScaleNormal="70" workbookViewId="0">
      <selection activeCell="J10" sqref="J10:J11"/>
    </sheetView>
  </sheetViews>
  <sheetFormatPr defaultColWidth="9" defaultRowHeight="19.5" x14ac:dyDescent="0.15"/>
  <cols>
    <col min="1" max="1" width="13.625" style="146" bestFit="1" customWidth="1"/>
    <col min="2" max="2" width="16" style="146" customWidth="1"/>
    <col min="3" max="3" width="16.375" style="147" bestFit="1" customWidth="1"/>
    <col min="4" max="4" width="15" style="146" customWidth="1"/>
    <col min="5" max="8" width="13.125" style="146" customWidth="1"/>
    <col min="9" max="9" width="4.25" style="148" customWidth="1"/>
    <col min="10" max="10" width="21.75" style="146" customWidth="1"/>
    <col min="11" max="13" width="13" style="147" customWidth="1"/>
    <col min="14" max="14" width="11.25" style="147" customWidth="1"/>
    <col min="15" max="15" width="10.5" style="147" bestFit="1" customWidth="1"/>
    <col min="16" max="16384" width="9" style="147"/>
  </cols>
  <sheetData>
    <row r="1" spans="1:22" x14ac:dyDescent="0.15">
      <c r="A1" s="146" t="s">
        <v>135</v>
      </c>
    </row>
    <row r="2" spans="1:22" ht="30" customHeight="1" x14ac:dyDescent="0.15">
      <c r="A2" s="180"/>
      <c r="B2" s="149" t="s">
        <v>22</v>
      </c>
      <c r="C2" s="149" t="s">
        <v>114</v>
      </c>
      <c r="D2" s="149" t="s">
        <v>24</v>
      </c>
      <c r="E2" s="177" t="s">
        <v>103</v>
      </c>
      <c r="F2" s="147"/>
      <c r="G2" s="147"/>
      <c r="H2" s="147"/>
      <c r="I2" s="147"/>
      <c r="J2" s="147"/>
    </row>
    <row r="3" spans="1:22" ht="30" customHeight="1" x14ac:dyDescent="0.15">
      <c r="A3" s="150" t="s">
        <v>115</v>
      </c>
      <c r="B3" s="151">
        <v>8.5000000000000006E-2</v>
      </c>
      <c r="C3" s="151">
        <v>3.1E-2</v>
      </c>
      <c r="D3" s="151">
        <v>2.5999999999999999E-2</v>
      </c>
      <c r="E3" s="176">
        <v>2.7000000000000001E-3</v>
      </c>
      <c r="F3" s="147"/>
      <c r="G3" s="152"/>
      <c r="H3" s="152"/>
      <c r="I3" s="147"/>
      <c r="J3" s="153"/>
      <c r="L3" s="153"/>
      <c r="N3" s="153"/>
    </row>
    <row r="4" spans="1:22" ht="30" customHeight="1" x14ac:dyDescent="0.15">
      <c r="A4" s="150" t="s">
        <v>116</v>
      </c>
      <c r="B4" s="154">
        <v>30200</v>
      </c>
      <c r="C4" s="154">
        <v>10500</v>
      </c>
      <c r="D4" s="154">
        <v>18700</v>
      </c>
      <c r="E4" s="154">
        <v>1500</v>
      </c>
      <c r="F4" s="147"/>
      <c r="G4" s="152"/>
      <c r="H4" s="152"/>
      <c r="I4" s="147"/>
      <c r="J4" s="153"/>
      <c r="L4" s="153"/>
      <c r="N4" s="153"/>
      <c r="R4" s="239"/>
      <c r="S4" s="239"/>
      <c r="T4" s="239"/>
      <c r="U4" s="239"/>
      <c r="V4" s="239"/>
    </row>
    <row r="5" spans="1:22" ht="30" customHeight="1" x14ac:dyDescent="0.15">
      <c r="A5" s="150" t="s">
        <v>117</v>
      </c>
      <c r="B5" s="154">
        <v>20800</v>
      </c>
      <c r="C5" s="154">
        <v>7200</v>
      </c>
      <c r="D5" s="154">
        <v>0</v>
      </c>
      <c r="E5" s="154">
        <v>0</v>
      </c>
      <c r="F5" s="147"/>
      <c r="G5" s="152"/>
      <c r="H5" s="152"/>
      <c r="I5" s="147"/>
      <c r="J5" s="153"/>
      <c r="L5" s="153"/>
      <c r="N5" s="153"/>
      <c r="R5" s="239"/>
      <c r="S5" s="239"/>
      <c r="T5" s="239"/>
      <c r="U5" s="239"/>
      <c r="V5" s="239"/>
    </row>
    <row r="6" spans="1:22" ht="30" customHeight="1" x14ac:dyDescent="0.15">
      <c r="A6" s="149" t="s">
        <v>32</v>
      </c>
      <c r="B6" s="155">
        <v>670000</v>
      </c>
      <c r="C6" s="155">
        <v>260000</v>
      </c>
      <c r="D6" s="155">
        <v>170000</v>
      </c>
      <c r="E6" s="155">
        <v>30000</v>
      </c>
      <c r="F6" s="147"/>
      <c r="G6" s="152"/>
      <c r="H6" s="152"/>
      <c r="I6" s="147"/>
      <c r="J6" s="153"/>
      <c r="L6" s="153"/>
      <c r="N6" s="153"/>
    </row>
    <row r="7" spans="1:22" x14ac:dyDescent="0.15">
      <c r="A7" s="137"/>
      <c r="B7" s="141"/>
      <c r="C7" s="141"/>
      <c r="D7" s="141"/>
      <c r="F7" s="147"/>
      <c r="G7" s="152"/>
      <c r="H7" s="152"/>
      <c r="I7" s="147"/>
      <c r="J7" s="153"/>
      <c r="L7" s="153"/>
      <c r="N7" s="153"/>
    </row>
    <row r="8" spans="1:22" ht="22.5" x14ac:dyDescent="0.15">
      <c r="A8" s="156" t="s">
        <v>118</v>
      </c>
      <c r="B8" s="157"/>
    </row>
    <row r="9" spans="1:22" ht="22.5" x14ac:dyDescent="0.15">
      <c r="A9" s="158" t="s">
        <v>119</v>
      </c>
      <c r="B9" s="159"/>
      <c r="J9" s="160" t="s">
        <v>120</v>
      </c>
      <c r="K9" s="161"/>
      <c r="L9" s="162"/>
      <c r="M9" s="161"/>
      <c r="N9" s="161"/>
    </row>
    <row r="10" spans="1:22" ht="36" customHeight="1" x14ac:dyDescent="0.15">
      <c r="A10" s="240" t="s">
        <v>121</v>
      </c>
      <c r="B10" s="241" t="s">
        <v>122</v>
      </c>
      <c r="C10" s="242" t="s">
        <v>123</v>
      </c>
      <c r="D10" s="241" t="s">
        <v>124</v>
      </c>
      <c r="E10" s="241"/>
      <c r="F10" s="241"/>
      <c r="G10" s="241"/>
      <c r="H10" s="241"/>
      <c r="I10" s="163"/>
      <c r="J10" s="240" t="s">
        <v>125</v>
      </c>
      <c r="K10" s="245" t="s">
        <v>124</v>
      </c>
      <c r="L10" s="246"/>
      <c r="M10" s="246"/>
      <c r="N10" s="246"/>
      <c r="O10" s="246"/>
    </row>
    <row r="11" spans="1:22" ht="36" customHeight="1" x14ac:dyDescent="0.15">
      <c r="A11" s="240"/>
      <c r="B11" s="241"/>
      <c r="C11" s="242"/>
      <c r="D11" s="178" t="s">
        <v>126</v>
      </c>
      <c r="E11" s="178" t="s">
        <v>127</v>
      </c>
      <c r="F11" s="179" t="s">
        <v>128</v>
      </c>
      <c r="G11" s="178" t="s">
        <v>103</v>
      </c>
      <c r="H11" s="178" t="s">
        <v>129</v>
      </c>
      <c r="I11" s="163"/>
      <c r="J11" s="240"/>
      <c r="K11" s="164" t="s">
        <v>126</v>
      </c>
      <c r="L11" s="164" t="s">
        <v>127</v>
      </c>
      <c r="M11" s="165" t="s">
        <v>128</v>
      </c>
      <c r="N11" s="164" t="s">
        <v>103</v>
      </c>
      <c r="O11" s="164" t="s">
        <v>129</v>
      </c>
    </row>
    <row r="12" spans="1:22" ht="37.5" customHeight="1" x14ac:dyDescent="0.15">
      <c r="A12" s="166">
        <v>0</v>
      </c>
      <c r="B12" s="166">
        <v>0</v>
      </c>
      <c r="C12" s="167">
        <v>0</v>
      </c>
      <c r="D12" s="166">
        <f t="shared" ref="D12:D31" si="0">IF(C12*$B$3&gt;=$B$6,$B$6,C12*$B$3)</f>
        <v>0</v>
      </c>
      <c r="E12" s="166">
        <f t="shared" ref="E12:E31" si="1">IF(C12*$C$3&gt;=$C$6,$C$6,C12*$C$3)</f>
        <v>0</v>
      </c>
      <c r="F12" s="166">
        <f t="shared" ref="F12:F31" si="2">IF(C12*$D$3&gt;=$D$6,$D$6,C12*$D$3)</f>
        <v>0</v>
      </c>
      <c r="G12" s="166">
        <f>IF(C12*$E$3&gt;=$E$6,$E$6,C12*$E$3)</f>
        <v>0</v>
      </c>
      <c r="H12" s="166">
        <f>SUM(D12:G12)</f>
        <v>0</v>
      </c>
      <c r="I12" s="168"/>
      <c r="J12" s="166">
        <v>1</v>
      </c>
      <c r="K12" s="166">
        <f>J12*$B$4</f>
        <v>30200</v>
      </c>
      <c r="L12" s="166">
        <f>J12*$C$4</f>
        <v>10500</v>
      </c>
      <c r="M12" s="166">
        <f>J12*$D$4</f>
        <v>18700</v>
      </c>
      <c r="N12" s="166">
        <f>J12*$E$4</f>
        <v>1500</v>
      </c>
      <c r="O12" s="166">
        <f>SUM(K12:N12)</f>
        <v>60900</v>
      </c>
    </row>
    <row r="13" spans="1:22" ht="37.5" customHeight="1" x14ac:dyDescent="0.15">
      <c r="A13" s="169">
        <v>500000</v>
      </c>
      <c r="B13" s="170">
        <v>0</v>
      </c>
      <c r="C13" s="171">
        <v>0</v>
      </c>
      <c r="D13" s="170">
        <f t="shared" si="0"/>
        <v>0</v>
      </c>
      <c r="E13" s="170">
        <f t="shared" si="1"/>
        <v>0</v>
      </c>
      <c r="F13" s="170">
        <f t="shared" si="2"/>
        <v>0</v>
      </c>
      <c r="G13" s="170">
        <f t="shared" ref="G13:G31" si="3">IF(C13*$E$3&gt;=$E$6,$E$6,C13*$E$3)</f>
        <v>0</v>
      </c>
      <c r="H13" s="170">
        <f t="shared" ref="H13:H31" si="4">SUM(D13:G13)</f>
        <v>0</v>
      </c>
      <c r="I13" s="168"/>
      <c r="J13" s="169">
        <v>2</v>
      </c>
      <c r="K13" s="170">
        <f t="shared" ref="K13:K15" si="5">J13*$B$4</f>
        <v>60400</v>
      </c>
      <c r="L13" s="170">
        <f t="shared" ref="L13:L15" si="6">J13*$C$4</f>
        <v>21000</v>
      </c>
      <c r="M13" s="170">
        <f t="shared" ref="M13:M15" si="7">J13*$D$4</f>
        <v>37400</v>
      </c>
      <c r="N13" s="170">
        <f t="shared" ref="N13:N15" si="8">J13*$E$4</f>
        <v>3000</v>
      </c>
      <c r="O13" s="170">
        <f t="shared" ref="O13:O18" si="9">SUM(K13:N13)</f>
        <v>121800</v>
      </c>
    </row>
    <row r="14" spans="1:22" ht="37.5" customHeight="1" x14ac:dyDescent="0.15">
      <c r="A14" s="166">
        <v>1000000</v>
      </c>
      <c r="B14" s="166">
        <v>350000</v>
      </c>
      <c r="C14" s="166">
        <v>0</v>
      </c>
      <c r="D14" s="166">
        <f>IF(C14*$B$3&gt;=$B$6,$B$6,C14*$B$3)</f>
        <v>0</v>
      </c>
      <c r="E14" s="166">
        <f t="shared" si="1"/>
        <v>0</v>
      </c>
      <c r="F14" s="166">
        <f t="shared" si="2"/>
        <v>0</v>
      </c>
      <c r="G14" s="166">
        <f t="shared" si="3"/>
        <v>0</v>
      </c>
      <c r="H14" s="166">
        <f t="shared" si="4"/>
        <v>0</v>
      </c>
      <c r="I14" s="168"/>
      <c r="J14" s="166">
        <v>3</v>
      </c>
      <c r="K14" s="166">
        <f t="shared" si="5"/>
        <v>90600</v>
      </c>
      <c r="L14" s="166">
        <f t="shared" si="6"/>
        <v>31500</v>
      </c>
      <c r="M14" s="166">
        <f t="shared" si="7"/>
        <v>56100</v>
      </c>
      <c r="N14" s="166">
        <f t="shared" si="8"/>
        <v>4500</v>
      </c>
      <c r="O14" s="166">
        <f t="shared" si="9"/>
        <v>182700</v>
      </c>
    </row>
    <row r="15" spans="1:22" ht="37.5" customHeight="1" x14ac:dyDescent="0.15">
      <c r="A15" s="169">
        <v>1500000</v>
      </c>
      <c r="B15" s="170">
        <v>850000</v>
      </c>
      <c r="C15" s="170">
        <f t="shared" ref="C15:C31" si="10">B15-430000</f>
        <v>420000</v>
      </c>
      <c r="D15" s="170">
        <f t="shared" si="0"/>
        <v>35700</v>
      </c>
      <c r="E15" s="170">
        <f t="shared" si="1"/>
        <v>13020</v>
      </c>
      <c r="F15" s="170">
        <f t="shared" si="2"/>
        <v>10920</v>
      </c>
      <c r="G15" s="170">
        <f t="shared" si="3"/>
        <v>1134</v>
      </c>
      <c r="H15" s="170">
        <f t="shared" si="4"/>
        <v>60774</v>
      </c>
      <c r="I15" s="168"/>
      <c r="J15" s="169">
        <v>4</v>
      </c>
      <c r="K15" s="170">
        <f t="shared" si="5"/>
        <v>120800</v>
      </c>
      <c r="L15" s="170">
        <f t="shared" si="6"/>
        <v>42000</v>
      </c>
      <c r="M15" s="170">
        <f t="shared" si="7"/>
        <v>74800</v>
      </c>
      <c r="N15" s="170">
        <f t="shared" si="8"/>
        <v>6000</v>
      </c>
      <c r="O15" s="170">
        <f t="shared" si="9"/>
        <v>243600</v>
      </c>
    </row>
    <row r="16" spans="1:22" ht="37.5" customHeight="1" x14ac:dyDescent="0.15">
      <c r="A16" s="166">
        <v>2000000</v>
      </c>
      <c r="B16" s="166">
        <v>1320000</v>
      </c>
      <c r="C16" s="166">
        <f t="shared" si="10"/>
        <v>890000</v>
      </c>
      <c r="D16" s="166">
        <f t="shared" si="0"/>
        <v>75650</v>
      </c>
      <c r="E16" s="166">
        <f t="shared" si="1"/>
        <v>27590</v>
      </c>
      <c r="F16" s="166">
        <f t="shared" si="2"/>
        <v>23140</v>
      </c>
      <c r="G16" s="166">
        <f t="shared" si="3"/>
        <v>2403</v>
      </c>
      <c r="H16" s="166">
        <f t="shared" si="4"/>
        <v>128783</v>
      </c>
      <c r="I16" s="168"/>
      <c r="J16" s="172" t="s">
        <v>130</v>
      </c>
      <c r="K16" s="166">
        <f>ROUNDDOWN(K12*0.3,-2)</f>
        <v>9000</v>
      </c>
      <c r="L16" s="166">
        <f>ROUNDDOWN(L12*0.3,-2)</f>
        <v>3100</v>
      </c>
      <c r="M16" s="166">
        <f>ROUNDDOWN(M12*0.3,-2)</f>
        <v>5600</v>
      </c>
      <c r="N16" s="166">
        <f>ROUNDDOWN(N12*0.3,-2)</f>
        <v>400</v>
      </c>
      <c r="O16" s="166">
        <f t="shared" si="9"/>
        <v>18100</v>
      </c>
    </row>
    <row r="17" spans="1:15" ht="37.5" customHeight="1" x14ac:dyDescent="0.15">
      <c r="A17" s="169">
        <v>2500000</v>
      </c>
      <c r="B17" s="170">
        <v>1670000</v>
      </c>
      <c r="C17" s="170">
        <f t="shared" si="10"/>
        <v>1240000</v>
      </c>
      <c r="D17" s="170">
        <f t="shared" si="0"/>
        <v>105400.00000000001</v>
      </c>
      <c r="E17" s="170">
        <f t="shared" si="1"/>
        <v>38440</v>
      </c>
      <c r="F17" s="170">
        <f t="shared" si="2"/>
        <v>32240</v>
      </c>
      <c r="G17" s="170">
        <f t="shared" si="3"/>
        <v>3348</v>
      </c>
      <c r="H17" s="170">
        <f t="shared" si="4"/>
        <v>179428</v>
      </c>
      <c r="I17" s="168"/>
      <c r="J17" s="173" t="s">
        <v>131</v>
      </c>
      <c r="K17" s="170">
        <f>ROUNDDOWN(K12*0.5,-2)</f>
        <v>15100</v>
      </c>
      <c r="L17" s="170">
        <f t="shared" ref="L17:M17" si="11">ROUNDDOWN(L12*0.5,-2)</f>
        <v>5200</v>
      </c>
      <c r="M17" s="170">
        <f t="shared" si="11"/>
        <v>9300</v>
      </c>
      <c r="N17" s="170">
        <f>ROUNDDOWN(N12*0.5,-2)</f>
        <v>700</v>
      </c>
      <c r="O17" s="170">
        <f t="shared" si="9"/>
        <v>30300</v>
      </c>
    </row>
    <row r="18" spans="1:15" ht="37.5" customHeight="1" x14ac:dyDescent="0.15">
      <c r="A18" s="166">
        <v>3000000</v>
      </c>
      <c r="B18" s="166">
        <v>2020000</v>
      </c>
      <c r="C18" s="166">
        <f t="shared" si="10"/>
        <v>1590000</v>
      </c>
      <c r="D18" s="166">
        <f t="shared" si="0"/>
        <v>135150</v>
      </c>
      <c r="E18" s="166">
        <f t="shared" si="1"/>
        <v>49290</v>
      </c>
      <c r="F18" s="166">
        <f t="shared" si="2"/>
        <v>41340</v>
      </c>
      <c r="G18" s="166">
        <f t="shared" si="3"/>
        <v>4293</v>
      </c>
      <c r="H18" s="166">
        <f t="shared" si="4"/>
        <v>230073</v>
      </c>
      <c r="I18" s="168"/>
      <c r="J18" s="172" t="s">
        <v>132</v>
      </c>
      <c r="K18" s="166">
        <f>ROUNDDOWN(K12*0.8,-2)</f>
        <v>24100</v>
      </c>
      <c r="L18" s="166">
        <f t="shared" ref="L18:M18" si="12">ROUNDDOWN(L12*0.8,-2)</f>
        <v>8400</v>
      </c>
      <c r="M18" s="166">
        <f t="shared" si="12"/>
        <v>14900</v>
      </c>
      <c r="N18" s="166">
        <f>ROUNDDOWN(N12*0.8,-2)</f>
        <v>1200</v>
      </c>
      <c r="O18" s="166">
        <f t="shared" si="9"/>
        <v>48600</v>
      </c>
    </row>
    <row r="19" spans="1:15" ht="37.5" customHeight="1" x14ac:dyDescent="0.15">
      <c r="A19" s="169">
        <v>3500000</v>
      </c>
      <c r="B19" s="170">
        <v>2370000</v>
      </c>
      <c r="C19" s="170">
        <f t="shared" si="10"/>
        <v>1940000</v>
      </c>
      <c r="D19" s="170">
        <f t="shared" si="0"/>
        <v>164900</v>
      </c>
      <c r="E19" s="170">
        <f t="shared" si="1"/>
        <v>60140</v>
      </c>
      <c r="F19" s="170">
        <f t="shared" si="2"/>
        <v>50440</v>
      </c>
      <c r="G19" s="170">
        <f t="shared" si="3"/>
        <v>5238</v>
      </c>
      <c r="H19" s="170">
        <f t="shared" si="4"/>
        <v>280718</v>
      </c>
      <c r="I19" s="168"/>
      <c r="J19" s="147"/>
    </row>
    <row r="20" spans="1:15" ht="37.5" customHeight="1" x14ac:dyDescent="0.15">
      <c r="A20" s="166">
        <v>4000000</v>
      </c>
      <c r="B20" s="166">
        <v>2760000</v>
      </c>
      <c r="C20" s="166">
        <f t="shared" si="10"/>
        <v>2330000</v>
      </c>
      <c r="D20" s="166">
        <f t="shared" si="0"/>
        <v>198050</v>
      </c>
      <c r="E20" s="166">
        <f t="shared" si="1"/>
        <v>72230</v>
      </c>
      <c r="F20" s="166">
        <f t="shared" si="2"/>
        <v>60580</v>
      </c>
      <c r="G20" s="166">
        <f t="shared" si="3"/>
        <v>6291</v>
      </c>
      <c r="H20" s="166">
        <f t="shared" si="4"/>
        <v>337151</v>
      </c>
      <c r="I20" s="168"/>
      <c r="J20" s="174" t="s">
        <v>133</v>
      </c>
      <c r="K20" s="162"/>
      <c r="L20" s="162"/>
      <c r="M20" s="162"/>
      <c r="N20" s="162"/>
    </row>
    <row r="21" spans="1:15" ht="37.5" customHeight="1" x14ac:dyDescent="0.15">
      <c r="A21" s="169">
        <v>4500000</v>
      </c>
      <c r="B21" s="170">
        <v>3160000</v>
      </c>
      <c r="C21" s="170">
        <f t="shared" si="10"/>
        <v>2730000</v>
      </c>
      <c r="D21" s="170">
        <f t="shared" si="0"/>
        <v>232050.00000000003</v>
      </c>
      <c r="E21" s="170">
        <f t="shared" si="1"/>
        <v>84630</v>
      </c>
      <c r="F21" s="170">
        <f t="shared" si="2"/>
        <v>70980</v>
      </c>
      <c r="G21" s="170">
        <f t="shared" si="3"/>
        <v>7371</v>
      </c>
      <c r="H21" s="170">
        <f t="shared" si="4"/>
        <v>395031</v>
      </c>
      <c r="I21" s="168"/>
      <c r="J21" s="243"/>
      <c r="K21" s="245" t="s">
        <v>124</v>
      </c>
      <c r="L21" s="246"/>
      <c r="M21" s="246"/>
      <c r="N21" s="246"/>
      <c r="O21" s="246"/>
    </row>
    <row r="22" spans="1:15" ht="37.5" customHeight="1" x14ac:dyDescent="0.15">
      <c r="A22" s="166">
        <v>5000000</v>
      </c>
      <c r="B22" s="166">
        <v>3560000</v>
      </c>
      <c r="C22" s="166">
        <f t="shared" si="10"/>
        <v>3130000</v>
      </c>
      <c r="D22" s="166">
        <f t="shared" si="0"/>
        <v>266050</v>
      </c>
      <c r="E22" s="166">
        <f t="shared" si="1"/>
        <v>97030</v>
      </c>
      <c r="F22" s="166">
        <f t="shared" si="2"/>
        <v>81380</v>
      </c>
      <c r="G22" s="166">
        <f t="shared" si="3"/>
        <v>8451</v>
      </c>
      <c r="H22" s="166">
        <f t="shared" si="4"/>
        <v>452911</v>
      </c>
      <c r="I22" s="168"/>
      <c r="J22" s="244"/>
      <c r="K22" s="164" t="s">
        <v>126</v>
      </c>
      <c r="L22" s="164" t="s">
        <v>127</v>
      </c>
      <c r="M22" s="165" t="s">
        <v>128</v>
      </c>
      <c r="N22" s="164" t="s">
        <v>103</v>
      </c>
      <c r="O22" s="164" t="s">
        <v>129</v>
      </c>
    </row>
    <row r="23" spans="1:15" ht="37.5" customHeight="1" x14ac:dyDescent="0.15">
      <c r="A23" s="169">
        <v>5500000</v>
      </c>
      <c r="B23" s="170">
        <v>3960000</v>
      </c>
      <c r="C23" s="170">
        <f t="shared" si="10"/>
        <v>3530000</v>
      </c>
      <c r="D23" s="170">
        <f t="shared" si="0"/>
        <v>300050</v>
      </c>
      <c r="E23" s="170">
        <f t="shared" si="1"/>
        <v>109430</v>
      </c>
      <c r="F23" s="170">
        <f t="shared" si="2"/>
        <v>91780</v>
      </c>
      <c r="G23" s="170">
        <f t="shared" si="3"/>
        <v>9531</v>
      </c>
      <c r="H23" s="170">
        <f t="shared" si="4"/>
        <v>510791</v>
      </c>
      <c r="I23" s="168"/>
      <c r="J23" s="166" t="s">
        <v>134</v>
      </c>
      <c r="K23" s="166">
        <f>B5</f>
        <v>20800</v>
      </c>
      <c r="L23" s="166">
        <v>7200</v>
      </c>
      <c r="M23" s="166">
        <v>0</v>
      </c>
      <c r="N23" s="166">
        <v>0</v>
      </c>
      <c r="O23" s="166">
        <f>SUM(K23:N23)</f>
        <v>28000</v>
      </c>
    </row>
    <row r="24" spans="1:15" ht="37.5" customHeight="1" x14ac:dyDescent="0.15">
      <c r="A24" s="166">
        <v>6000000</v>
      </c>
      <c r="B24" s="166">
        <v>4360000</v>
      </c>
      <c r="C24" s="166">
        <f t="shared" si="10"/>
        <v>3930000</v>
      </c>
      <c r="D24" s="166">
        <f t="shared" si="0"/>
        <v>334050</v>
      </c>
      <c r="E24" s="166">
        <f t="shared" si="1"/>
        <v>121830</v>
      </c>
      <c r="F24" s="166">
        <f t="shared" si="2"/>
        <v>102180</v>
      </c>
      <c r="G24" s="166">
        <f t="shared" si="3"/>
        <v>10611</v>
      </c>
      <c r="H24" s="166">
        <f t="shared" si="4"/>
        <v>568671</v>
      </c>
      <c r="I24" s="168"/>
      <c r="J24" s="170" t="s">
        <v>130</v>
      </c>
      <c r="K24" s="170">
        <f>ROUNDDOWN(K23*0.3,-2)</f>
        <v>6200</v>
      </c>
      <c r="L24" s="170">
        <f t="shared" ref="L24:M24" si="13">ROUNDDOWN(L23*0.3,-2)</f>
        <v>2100</v>
      </c>
      <c r="M24" s="170">
        <f t="shared" si="13"/>
        <v>0</v>
      </c>
      <c r="N24" s="170">
        <v>0</v>
      </c>
      <c r="O24" s="170">
        <f t="shared" ref="O24:O26" si="14">SUM(K24:N24)</f>
        <v>8300</v>
      </c>
    </row>
    <row r="25" spans="1:15" ht="37.5" customHeight="1" x14ac:dyDescent="0.15">
      <c r="A25" s="169">
        <v>6500000</v>
      </c>
      <c r="B25" s="170">
        <v>4760000</v>
      </c>
      <c r="C25" s="170">
        <f t="shared" si="10"/>
        <v>4330000</v>
      </c>
      <c r="D25" s="170">
        <f t="shared" si="0"/>
        <v>368050</v>
      </c>
      <c r="E25" s="170">
        <f t="shared" si="1"/>
        <v>134230</v>
      </c>
      <c r="F25" s="170">
        <f t="shared" si="2"/>
        <v>112580</v>
      </c>
      <c r="G25" s="170">
        <f t="shared" si="3"/>
        <v>11691</v>
      </c>
      <c r="H25" s="170">
        <f t="shared" si="4"/>
        <v>626551</v>
      </c>
      <c r="I25" s="168"/>
      <c r="J25" s="166" t="s">
        <v>131</v>
      </c>
      <c r="K25" s="166">
        <f>ROUNDDOWN(K23*0.5,-2)</f>
        <v>10400</v>
      </c>
      <c r="L25" s="166">
        <f t="shared" ref="L25:M25" si="15">ROUNDDOWN(L23*0.5,-2)</f>
        <v>3600</v>
      </c>
      <c r="M25" s="166">
        <f t="shared" si="15"/>
        <v>0</v>
      </c>
      <c r="N25" s="166">
        <v>0</v>
      </c>
      <c r="O25" s="166">
        <f t="shared" si="14"/>
        <v>14000</v>
      </c>
    </row>
    <row r="26" spans="1:15" ht="37.5" customHeight="1" x14ac:dyDescent="0.15">
      <c r="A26" s="166">
        <v>7000000</v>
      </c>
      <c r="B26" s="166">
        <v>5200000</v>
      </c>
      <c r="C26" s="166">
        <f t="shared" si="10"/>
        <v>4770000</v>
      </c>
      <c r="D26" s="166">
        <f t="shared" si="0"/>
        <v>405450.00000000006</v>
      </c>
      <c r="E26" s="166">
        <f t="shared" si="1"/>
        <v>147870</v>
      </c>
      <c r="F26" s="166">
        <f t="shared" si="2"/>
        <v>124020</v>
      </c>
      <c r="G26" s="166">
        <f t="shared" si="3"/>
        <v>12879</v>
      </c>
      <c r="H26" s="166">
        <f t="shared" si="4"/>
        <v>690219</v>
      </c>
      <c r="I26" s="168"/>
      <c r="J26" s="170" t="s">
        <v>132</v>
      </c>
      <c r="K26" s="170">
        <f>ROUNDDOWN(K23*0.8,-2)</f>
        <v>16600</v>
      </c>
      <c r="L26" s="170">
        <f t="shared" ref="L26:M26" si="16">ROUNDDOWN(L23*0.8,-2)</f>
        <v>5700</v>
      </c>
      <c r="M26" s="170">
        <f t="shared" si="16"/>
        <v>0</v>
      </c>
      <c r="N26" s="170">
        <v>0</v>
      </c>
      <c r="O26" s="170">
        <f t="shared" si="14"/>
        <v>22300</v>
      </c>
    </row>
    <row r="27" spans="1:15" ht="37.5" customHeight="1" x14ac:dyDescent="0.15">
      <c r="A27" s="169">
        <v>7500000</v>
      </c>
      <c r="B27" s="170">
        <v>5650000</v>
      </c>
      <c r="C27" s="170">
        <f t="shared" si="10"/>
        <v>5220000</v>
      </c>
      <c r="D27" s="170">
        <f t="shared" si="0"/>
        <v>443700.00000000006</v>
      </c>
      <c r="E27" s="170">
        <f t="shared" si="1"/>
        <v>161820</v>
      </c>
      <c r="F27" s="170">
        <f t="shared" si="2"/>
        <v>135720</v>
      </c>
      <c r="G27" s="170">
        <f t="shared" si="3"/>
        <v>14094</v>
      </c>
      <c r="H27" s="170">
        <f t="shared" si="4"/>
        <v>755334</v>
      </c>
      <c r="I27" s="168"/>
      <c r="J27" s="147"/>
    </row>
    <row r="28" spans="1:15" ht="37.5" customHeight="1" x14ac:dyDescent="0.15">
      <c r="A28" s="166">
        <v>8000000</v>
      </c>
      <c r="B28" s="166">
        <v>6100000</v>
      </c>
      <c r="C28" s="166">
        <f t="shared" si="10"/>
        <v>5670000</v>
      </c>
      <c r="D28" s="166">
        <f t="shared" si="0"/>
        <v>481950.00000000006</v>
      </c>
      <c r="E28" s="166">
        <f t="shared" si="1"/>
        <v>175770</v>
      </c>
      <c r="F28" s="166">
        <f t="shared" si="2"/>
        <v>147420</v>
      </c>
      <c r="G28" s="166">
        <f t="shared" si="3"/>
        <v>15309</v>
      </c>
      <c r="H28" s="166">
        <f t="shared" si="4"/>
        <v>820449</v>
      </c>
      <c r="I28" s="168"/>
      <c r="J28" s="147"/>
    </row>
    <row r="29" spans="1:15" ht="37.5" customHeight="1" x14ac:dyDescent="0.15">
      <c r="A29" s="169">
        <v>8500000</v>
      </c>
      <c r="B29" s="170">
        <v>6550000</v>
      </c>
      <c r="C29" s="170">
        <f t="shared" si="10"/>
        <v>6120000</v>
      </c>
      <c r="D29" s="170">
        <f t="shared" si="0"/>
        <v>520200.00000000006</v>
      </c>
      <c r="E29" s="170">
        <f t="shared" si="1"/>
        <v>189720</v>
      </c>
      <c r="F29" s="170">
        <f t="shared" si="2"/>
        <v>159120</v>
      </c>
      <c r="G29" s="170">
        <f t="shared" si="3"/>
        <v>16524</v>
      </c>
      <c r="H29" s="170">
        <f t="shared" si="4"/>
        <v>885564</v>
      </c>
      <c r="I29" s="168"/>
      <c r="J29" s="147"/>
    </row>
    <row r="30" spans="1:15" ht="37.5" customHeight="1" x14ac:dyDescent="0.15">
      <c r="A30" s="166">
        <v>9000000</v>
      </c>
      <c r="B30" s="166">
        <v>7050000</v>
      </c>
      <c r="C30" s="166">
        <f t="shared" si="10"/>
        <v>6620000</v>
      </c>
      <c r="D30" s="166">
        <f t="shared" si="0"/>
        <v>562700</v>
      </c>
      <c r="E30" s="166">
        <f t="shared" si="1"/>
        <v>205220</v>
      </c>
      <c r="F30" s="166">
        <f t="shared" si="2"/>
        <v>170000</v>
      </c>
      <c r="G30" s="166">
        <f t="shared" si="3"/>
        <v>17874</v>
      </c>
      <c r="H30" s="166">
        <f t="shared" si="4"/>
        <v>955794</v>
      </c>
      <c r="I30" s="168"/>
      <c r="J30" s="147"/>
    </row>
    <row r="31" spans="1:15" ht="37.5" customHeight="1" x14ac:dyDescent="0.15">
      <c r="A31" s="169">
        <v>9500000</v>
      </c>
      <c r="B31" s="170">
        <v>7550000</v>
      </c>
      <c r="C31" s="170">
        <f t="shared" si="10"/>
        <v>7120000</v>
      </c>
      <c r="D31" s="170">
        <f t="shared" si="0"/>
        <v>605200</v>
      </c>
      <c r="E31" s="170">
        <f t="shared" si="1"/>
        <v>220720</v>
      </c>
      <c r="F31" s="170">
        <f t="shared" si="2"/>
        <v>170000</v>
      </c>
      <c r="G31" s="170">
        <f t="shared" si="3"/>
        <v>19224</v>
      </c>
      <c r="H31" s="170">
        <f t="shared" si="4"/>
        <v>1015144</v>
      </c>
      <c r="I31" s="168"/>
      <c r="J31" s="147"/>
    </row>
    <row r="32" spans="1:15" x14ac:dyDescent="0.15">
      <c r="B32" s="161"/>
      <c r="C32" s="162"/>
      <c r="D32" s="161"/>
      <c r="E32" s="161"/>
      <c r="F32" s="161"/>
      <c r="G32" s="161"/>
      <c r="H32" s="161"/>
      <c r="I32" s="175"/>
      <c r="J32" s="147"/>
    </row>
    <row r="33" spans="1:14" x14ac:dyDescent="0.15">
      <c r="A33" s="147"/>
      <c r="B33" s="147"/>
      <c r="D33" s="147"/>
      <c r="E33" s="147"/>
      <c r="F33" s="161"/>
      <c r="G33" s="161"/>
      <c r="H33" s="161"/>
      <c r="I33" s="175"/>
      <c r="J33" s="147"/>
    </row>
    <row r="34" spans="1:14" x14ac:dyDescent="0.15">
      <c r="A34" s="147"/>
      <c r="B34" s="147"/>
      <c r="D34" s="147"/>
      <c r="E34" s="147"/>
      <c r="F34" s="161"/>
      <c r="G34" s="161"/>
      <c r="H34" s="161"/>
      <c r="I34" s="175"/>
      <c r="J34" s="147"/>
    </row>
    <row r="35" spans="1:14" x14ac:dyDescent="0.15">
      <c r="A35" s="147"/>
      <c r="B35" s="147"/>
      <c r="D35" s="147"/>
      <c r="E35" s="147"/>
      <c r="F35" s="161"/>
      <c r="G35" s="161"/>
      <c r="H35" s="161"/>
      <c r="I35" s="175"/>
      <c r="J35" s="147"/>
    </row>
    <row r="36" spans="1:14" ht="37.5" customHeight="1" x14ac:dyDescent="0.15">
      <c r="A36" s="147"/>
      <c r="B36" s="147"/>
      <c r="D36" s="147"/>
      <c r="E36" s="147"/>
      <c r="F36" s="161"/>
      <c r="G36" s="161"/>
      <c r="H36" s="161"/>
      <c r="I36" s="175"/>
      <c r="J36" s="147"/>
    </row>
    <row r="37" spans="1:14" ht="37.5" customHeight="1" x14ac:dyDescent="0.15">
      <c r="A37" s="147"/>
      <c r="B37" s="147"/>
      <c r="D37" s="147"/>
      <c r="E37" s="147"/>
      <c r="F37" s="161"/>
      <c r="G37" s="161"/>
      <c r="H37" s="161"/>
      <c r="I37" s="175"/>
      <c r="J37" s="147"/>
    </row>
    <row r="38" spans="1:14" ht="37.5" customHeight="1" x14ac:dyDescent="0.15">
      <c r="A38" s="147"/>
      <c r="B38" s="147"/>
      <c r="D38" s="147"/>
      <c r="E38" s="147"/>
      <c r="F38" s="161"/>
      <c r="G38" s="161"/>
      <c r="H38" s="161"/>
      <c r="I38" s="175"/>
      <c r="J38" s="147"/>
    </row>
    <row r="39" spans="1:14" ht="37.5" customHeight="1" x14ac:dyDescent="0.15">
      <c r="A39" s="147"/>
      <c r="B39" s="147"/>
      <c r="D39" s="147"/>
      <c r="E39" s="147"/>
      <c r="F39" s="161"/>
      <c r="G39" s="161"/>
      <c r="H39" s="161"/>
      <c r="I39" s="175"/>
      <c r="J39" s="161"/>
      <c r="K39" s="162"/>
      <c r="L39" s="162"/>
      <c r="M39" s="162"/>
      <c r="N39" s="162"/>
    </row>
    <row r="40" spans="1:14" ht="37.5" customHeight="1" x14ac:dyDescent="0.15">
      <c r="A40" s="147"/>
      <c r="B40" s="147"/>
      <c r="D40" s="147"/>
      <c r="E40" s="147"/>
      <c r="F40" s="161"/>
      <c r="G40" s="161"/>
      <c r="H40" s="161"/>
      <c r="I40" s="175"/>
      <c r="J40" s="161"/>
      <c r="K40" s="162"/>
      <c r="L40" s="162"/>
      <c r="M40" s="162"/>
      <c r="N40" s="162"/>
    </row>
    <row r="41" spans="1:14" ht="37.5" customHeight="1" x14ac:dyDescent="0.15">
      <c r="A41" s="147"/>
      <c r="B41" s="147"/>
      <c r="D41" s="147"/>
      <c r="E41" s="147"/>
      <c r="F41" s="161"/>
      <c r="G41" s="161"/>
      <c r="H41" s="161"/>
      <c r="I41" s="175"/>
      <c r="J41" s="161"/>
      <c r="K41" s="162"/>
      <c r="L41" s="162"/>
      <c r="M41" s="162"/>
      <c r="N41" s="162"/>
    </row>
    <row r="42" spans="1:14" ht="37.5" customHeight="1" x14ac:dyDescent="0.15">
      <c r="A42" s="147"/>
      <c r="B42" s="147"/>
      <c r="D42" s="147"/>
      <c r="E42" s="147"/>
      <c r="F42" s="161"/>
      <c r="G42" s="161"/>
      <c r="H42" s="161"/>
      <c r="I42" s="175"/>
      <c r="J42" s="161"/>
      <c r="K42" s="162"/>
      <c r="L42" s="162"/>
      <c r="M42" s="162"/>
      <c r="N42" s="162"/>
    </row>
    <row r="43" spans="1:14" x14ac:dyDescent="0.15">
      <c r="B43" s="161"/>
      <c r="C43" s="162"/>
      <c r="D43" s="161"/>
      <c r="E43" s="161"/>
      <c r="F43" s="161"/>
      <c r="G43" s="161"/>
      <c r="H43" s="161"/>
      <c r="I43" s="175"/>
    </row>
  </sheetData>
  <sheetProtection algorithmName="SHA-512" hashValue="9nn6CfzxS8w3XmdEJAK0KTbhfqhpLa15sU5kXPq8hxY0pa4weJLQ5T/ArVHvACzGBPfspZiABF4h8lNjKvTkSA==" saltValue="BbQDH1d/7Zvq5cMwI3QvLg==" spinCount="100000" sheet="1" formatCells="0" formatColumns="0" formatRows="0" insertColumns="0" insertRows="0" insertHyperlinks="0" deleteColumns="0" deleteRows="0" sort="0" autoFilter="0" pivotTables="0"/>
  <mergeCells count="12">
    <mergeCell ref="J21:J22"/>
    <mergeCell ref="D10:H10"/>
    <mergeCell ref="K10:O10"/>
    <mergeCell ref="K21:O21"/>
    <mergeCell ref="R4:S4"/>
    <mergeCell ref="T4:V4"/>
    <mergeCell ref="R5:S5"/>
    <mergeCell ref="T5:V5"/>
    <mergeCell ref="A10:A11"/>
    <mergeCell ref="B10:B11"/>
    <mergeCell ref="C10:C11"/>
    <mergeCell ref="J10:J11"/>
  </mergeCells>
  <phoneticPr fontId="1"/>
  <pageMargins left="0.7" right="0.7" top="0.75" bottom="0.75" header="0.3" footer="0.3"/>
  <pageSetup paperSize="9" scale="4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令和8年度</vt:lpstr>
      <vt:lpstr>給与収入 (R8)</vt:lpstr>
      <vt:lpstr>年金収入 </vt:lpstr>
      <vt:lpstr>早読表</vt:lpstr>
      <vt:lpstr>'給与収入 (R8)'!Print_Area</vt:lpstr>
      <vt:lpstr>令和8年度!Print_Area</vt:lpstr>
    </vt:vector>
  </TitlesOfParts>
  <Company>韮崎市役所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細川　雅弥</dc:creator>
  <cp:lastModifiedBy>Administrator</cp:lastModifiedBy>
  <cp:lastPrinted>2026-03-17T08:02:33Z</cp:lastPrinted>
  <dcterms:created xsi:type="dcterms:W3CDTF">2016-04-26T05:13:48Z</dcterms:created>
  <dcterms:modified xsi:type="dcterms:W3CDTF">2026-03-17T08:03:30Z</dcterms:modified>
</cp:coreProperties>
</file>