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codeName="ThisWorkbook" defaultThemeVersion="124226"/>
  <mc:AlternateContent xmlns:mc="http://schemas.openxmlformats.org/markup-compatibility/2006">
    <mc:Choice Requires="x15">
      <x15ac:absPath xmlns:x15ac="http://schemas.microsoft.com/office/spreadsheetml/2010/11/ac" url="K:\税務課\@令和6年度\3検討中フォルダ\01　住民税\03国民健康保険税\★R7個人用試算エクセル\試算修正\"/>
    </mc:Choice>
  </mc:AlternateContent>
  <xr:revisionPtr revIDLastSave="0" documentId="13_ncr:1_{1F6D1E2E-2EEE-45EB-A9CE-9227F8CC81B8}" xr6:coauthVersionLast="47" xr6:coauthVersionMax="47" xr10:uidLastSave="{00000000-0000-0000-0000-000000000000}"/>
  <bookViews>
    <workbookView xWindow="-120" yWindow="-120" windowWidth="19440" windowHeight="15000" xr2:uid="{00000000-000D-0000-FFFF-FFFF00000000}"/>
  </bookViews>
  <sheets>
    <sheet name="令和6年度" sheetId="6" r:id="rId1"/>
    <sheet name="給与収入" sheetId="1" r:id="rId2"/>
    <sheet name="年金収入" sheetId="7" r:id="rId3"/>
    <sheet name="早読表" sheetId="5" r:id="rId4"/>
  </sheets>
  <definedNames>
    <definedName name="_xlnm.Print_Area" localSheetId="1">給与収入!$A$1:$I$25</definedName>
    <definedName name="_xlnm.Print_Area" localSheetId="0">令和6年度!$A$1:$M$54</definedName>
  </definedNames>
  <calcPr calcId="191029"/>
</workbook>
</file>

<file path=xl/calcChain.xml><?xml version="1.0" encoding="utf-8"?>
<calcChain xmlns="http://schemas.openxmlformats.org/spreadsheetml/2006/main">
  <c r="C33" i="6" l="1"/>
  <c r="H5" i="6"/>
  <c r="F15" i="1" l="1"/>
  <c r="J12" i="5"/>
  <c r="D33" i="6" l="1"/>
  <c r="D34" i="6" s="1"/>
  <c r="H9" i="6" l="1"/>
  <c r="I9" i="6" s="1"/>
  <c r="H10" i="6"/>
  <c r="I10" i="6" s="1"/>
  <c r="M18" i="6" l="1"/>
  <c r="G18" i="6"/>
  <c r="G23" i="6" l="1"/>
  <c r="H23" i="6" s="1"/>
  <c r="J6" i="6" l="1"/>
  <c r="J7" i="6"/>
  <c r="J8" i="6"/>
  <c r="J9" i="6"/>
  <c r="J10" i="6"/>
  <c r="J11" i="6"/>
  <c r="J12" i="6"/>
  <c r="H11" i="6" l="1"/>
  <c r="I11" i="6" s="1"/>
  <c r="C31" i="5"/>
  <c r="C29" i="5"/>
  <c r="C27" i="5"/>
  <c r="C25" i="5"/>
  <c r="C23" i="5"/>
  <c r="C21" i="5"/>
  <c r="C19" i="5"/>
  <c r="C17" i="5"/>
  <c r="C15" i="5"/>
  <c r="C14" i="5"/>
  <c r="C30" i="5"/>
  <c r="C28" i="5"/>
  <c r="C26" i="5"/>
  <c r="C24" i="5"/>
  <c r="C22" i="5"/>
  <c r="C20" i="5"/>
  <c r="C18" i="5"/>
  <c r="C16" i="5"/>
  <c r="M6" i="6"/>
  <c r="M7" i="6"/>
  <c r="M8" i="6"/>
  <c r="M9" i="6"/>
  <c r="M10" i="6"/>
  <c r="M11" i="6"/>
  <c r="M12" i="6"/>
  <c r="H7" i="6" l="1"/>
  <c r="I7" i="6" s="1"/>
  <c r="H8" i="6"/>
  <c r="I8" i="6" s="1"/>
  <c r="H12" i="6"/>
  <c r="I12" i="6" s="1"/>
  <c r="H6" i="6"/>
  <c r="I6" i="6" s="1"/>
  <c r="L23" i="7" l="1"/>
  <c r="I23" i="7"/>
  <c r="F23" i="7"/>
  <c r="L22" i="7"/>
  <c r="I22" i="7"/>
  <c r="F22" i="7"/>
  <c r="L21" i="7"/>
  <c r="I21" i="7"/>
  <c r="F21" i="7"/>
  <c r="F20" i="7"/>
  <c r="L20" i="7"/>
  <c r="I20" i="7"/>
  <c r="L19" i="7"/>
  <c r="I19" i="7"/>
  <c r="F19" i="7"/>
  <c r="L14" i="7"/>
  <c r="L13" i="7"/>
  <c r="L12" i="7"/>
  <c r="L11" i="7"/>
  <c r="L10" i="7"/>
  <c r="I13" i="7"/>
  <c r="F14" i="7"/>
  <c r="F12" i="7"/>
  <c r="F13" i="7"/>
  <c r="I14" i="7"/>
  <c r="I12" i="7"/>
  <c r="I11" i="7"/>
  <c r="I10" i="7"/>
  <c r="F11" i="7"/>
  <c r="F10" i="7"/>
  <c r="F5" i="7" l="1"/>
  <c r="K6" i="6"/>
  <c r="K7" i="6"/>
  <c r="K8" i="6"/>
  <c r="K9" i="6"/>
  <c r="K10" i="6"/>
  <c r="K11" i="6"/>
  <c r="K12" i="6"/>
  <c r="M5" i="6" l="1"/>
  <c r="M19" i="6" s="1"/>
  <c r="F10" i="1"/>
  <c r="F24" i="1" l="1"/>
  <c r="F23" i="1" l="1"/>
  <c r="F22" i="1"/>
  <c r="F21" i="1"/>
  <c r="F20" i="1"/>
  <c r="F19" i="1"/>
  <c r="F18" i="1"/>
  <c r="F17" i="1"/>
  <c r="F16" i="1"/>
  <c r="L23" i="5" l="1"/>
  <c r="K23" i="5"/>
  <c r="J23" i="5"/>
  <c r="J24" i="5" s="1"/>
  <c r="L12" i="5"/>
  <c r="L16" i="5" s="1"/>
  <c r="J16" i="5"/>
  <c r="C35" i="6" l="1"/>
  <c r="E39" i="6" s="1"/>
  <c r="E18" i="6"/>
  <c r="L12" i="6"/>
  <c r="L11" i="6"/>
  <c r="L10" i="6"/>
  <c r="L9" i="6"/>
  <c r="L8" i="6"/>
  <c r="L7" i="6"/>
  <c r="L6" i="6"/>
  <c r="L5" i="6"/>
  <c r="C39" i="6" l="1"/>
  <c r="C40" i="6"/>
  <c r="C34" i="6"/>
  <c r="D40" i="6" s="1"/>
  <c r="E40" i="6"/>
  <c r="K26" i="5"/>
  <c r="L26" i="5"/>
  <c r="J26" i="5"/>
  <c r="K25" i="5"/>
  <c r="L25" i="5"/>
  <c r="K24" i="5"/>
  <c r="L24" i="5"/>
  <c r="J25" i="5"/>
  <c r="L15" i="5"/>
  <c r="K15" i="5"/>
  <c r="J15" i="5"/>
  <c r="L14" i="5"/>
  <c r="K14" i="5"/>
  <c r="J14" i="5"/>
  <c r="L13" i="5"/>
  <c r="K13" i="5"/>
  <c r="J13" i="5"/>
  <c r="M23" i="5"/>
  <c r="L18" i="5"/>
  <c r="K12" i="5"/>
  <c r="K16" i="5" s="1"/>
  <c r="J17" i="5"/>
  <c r="E31" i="5"/>
  <c r="E30" i="5"/>
  <c r="F29" i="5"/>
  <c r="E28" i="5"/>
  <c r="E27" i="5"/>
  <c r="E26" i="5"/>
  <c r="F26" i="5"/>
  <c r="F25" i="5"/>
  <c r="E24" i="5"/>
  <c r="E23" i="5"/>
  <c r="F22" i="5"/>
  <c r="F21" i="5"/>
  <c r="E20" i="5"/>
  <c r="E19" i="5"/>
  <c r="D18" i="5"/>
  <c r="F17" i="5"/>
  <c r="E16" i="5"/>
  <c r="D15" i="5"/>
  <c r="F13" i="5"/>
  <c r="E13" i="5"/>
  <c r="D13" i="5"/>
  <c r="F12" i="5"/>
  <c r="E12" i="5"/>
  <c r="D12" i="5"/>
  <c r="E17" i="5" l="1"/>
  <c r="D22" i="5"/>
  <c r="E25" i="5"/>
  <c r="D30" i="5"/>
  <c r="D16" i="5"/>
  <c r="E14" i="5"/>
  <c r="D14" i="5"/>
  <c r="M25" i="5"/>
  <c r="F14" i="5"/>
  <c r="E22" i="5"/>
  <c r="G22" i="5" s="1"/>
  <c r="D24" i="5"/>
  <c r="F28" i="5"/>
  <c r="F24" i="5"/>
  <c r="M14" i="5"/>
  <c r="F20" i="5"/>
  <c r="M12" i="5"/>
  <c r="L17" i="5"/>
  <c r="K18" i="5"/>
  <c r="E18" i="5"/>
  <c r="F16" i="5"/>
  <c r="F18" i="5"/>
  <c r="E21" i="5"/>
  <c r="D26" i="5"/>
  <c r="G26" i="5" s="1"/>
  <c r="D28" i="5"/>
  <c r="F30" i="5"/>
  <c r="M15" i="5"/>
  <c r="K17" i="5"/>
  <c r="J18" i="5"/>
  <c r="D20" i="5"/>
  <c r="E29" i="5"/>
  <c r="M13" i="5"/>
  <c r="G13" i="5"/>
  <c r="G12" i="5"/>
  <c r="D39" i="6"/>
  <c r="M26" i="5"/>
  <c r="M24" i="5"/>
  <c r="E15" i="5"/>
  <c r="F15" i="5"/>
  <c r="D17" i="5"/>
  <c r="G17" i="5" s="1"/>
  <c r="F19" i="5"/>
  <c r="D21" i="5"/>
  <c r="F23" i="5"/>
  <c r="D25" i="5"/>
  <c r="F27" i="5"/>
  <c r="D29" i="5"/>
  <c r="F31" i="5"/>
  <c r="D19" i="5"/>
  <c r="D23" i="5"/>
  <c r="D27" i="5"/>
  <c r="D31" i="5"/>
  <c r="G25" i="5" l="1"/>
  <c r="G18" i="5"/>
  <c r="G28" i="5"/>
  <c r="G16" i="5"/>
  <c r="G21" i="5"/>
  <c r="G30" i="5"/>
  <c r="G14" i="5"/>
  <c r="G24" i="5"/>
  <c r="G20" i="5"/>
  <c r="M17" i="5"/>
  <c r="M16" i="5"/>
  <c r="G29" i="5"/>
  <c r="G23" i="5"/>
  <c r="M18" i="5"/>
  <c r="G31" i="5"/>
  <c r="G27" i="5"/>
  <c r="G15" i="5"/>
  <c r="G19" i="5"/>
  <c r="F14" i="1" l="1"/>
  <c r="H11" i="1"/>
  <c r="F3" i="1" l="1"/>
  <c r="C15" i="6" l="1"/>
  <c r="J5" i="6"/>
  <c r="I5" i="6"/>
  <c r="C22" i="6" s="1"/>
  <c r="C23" i="6" s="1"/>
  <c r="K5" i="6" l="1"/>
  <c r="C41" i="6" l="1"/>
  <c r="D42" i="6"/>
  <c r="C42" i="6"/>
  <c r="E41" i="6"/>
  <c r="D43" i="6"/>
  <c r="E43" i="6"/>
  <c r="C43" i="6"/>
  <c r="D41" i="6"/>
  <c r="E33" i="6"/>
  <c r="C38" i="6" s="1"/>
  <c r="E35" i="6"/>
  <c r="E38" i="6" s="1"/>
  <c r="E34" i="6" l="1"/>
  <c r="D38" i="6" s="1"/>
  <c r="E44" i="6"/>
  <c r="E45" i="6" s="1"/>
  <c r="C44" i="6" l="1"/>
  <c r="C45" i="6" s="1"/>
  <c r="D44" i="6"/>
  <c r="D45" i="6" s="1"/>
  <c r="F49" i="6" l="1"/>
  <c r="F52" i="6"/>
  <c r="F4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竹内 優希</author>
  </authors>
  <commentList>
    <comment ref="E5" authorId="0" shapeId="0" xr:uid="{00000000-0006-0000-0000-000001000000}">
      <text>
        <r>
          <rPr>
            <sz val="9"/>
            <color indexed="81"/>
            <rFont val="メイリオ"/>
            <family val="3"/>
            <charset val="128"/>
          </rPr>
          <t xml:space="preserve">資料記載の給与所得はすでに調整控除がされており、そのまま入力すると二重に控除されてしまうことがあります。
</t>
        </r>
        <r>
          <rPr>
            <b/>
            <u/>
            <sz val="9"/>
            <color indexed="81"/>
            <rFont val="メイリオ"/>
            <family val="3"/>
            <charset val="128"/>
          </rPr>
          <t>「給与収入」のシートで、収入から計算した所得を入力するようにしてください。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細川　雅弥</author>
  </authors>
  <commentList>
    <comment ref="F2" authorId="0" shapeId="0" xr:uid="{00000000-0006-0000-0100-000001000000}">
      <text>
        <r>
          <rPr>
            <b/>
            <sz val="16"/>
            <color indexed="81"/>
            <rFont val="ＭＳ Ｐゴシック"/>
            <family val="3"/>
            <charset val="128"/>
          </rPr>
          <t>ここに収入金額を入力してください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細川　雅弥</author>
  </authors>
  <commentList>
    <comment ref="F2" authorId="0" shapeId="0" xr:uid="{00000000-0006-0000-0200-000001000000}">
      <text>
        <r>
          <rPr>
            <b/>
            <sz val="16"/>
            <color indexed="81"/>
            <rFont val="ＭＳ Ｐゴシック"/>
            <family val="3"/>
            <charset val="128"/>
          </rPr>
          <t>ここに収入金額を入力してください</t>
        </r>
      </text>
    </comment>
    <comment ref="F3" authorId="0" shapeId="0" xr:uid="{00000000-0006-0000-0200-000002000000}">
      <text>
        <r>
          <rPr>
            <b/>
            <sz val="16"/>
            <color indexed="81"/>
            <rFont val="ＭＳ Ｐゴシック"/>
            <family val="3"/>
            <charset val="128"/>
          </rPr>
          <t>ここに年齢を入力してください</t>
        </r>
      </text>
    </comment>
  </commentList>
</comments>
</file>

<file path=xl/sharedStrings.xml><?xml version="1.0" encoding="utf-8"?>
<sst xmlns="http://schemas.openxmlformats.org/spreadsheetml/2006/main" count="275" uniqueCount="137">
  <si>
    <t>給与等の収入金額</t>
    <rPh sb="0" eb="2">
      <t>キュウヨ</t>
    </rPh>
    <rPh sb="2" eb="3">
      <t>トウ</t>
    </rPh>
    <rPh sb="4" eb="6">
      <t>シュウニュウ</t>
    </rPh>
    <rPh sb="6" eb="8">
      <t>キンガク</t>
    </rPh>
    <phoneticPr fontId="1"/>
  </si>
  <si>
    <t>円</t>
    <rPh sb="0" eb="1">
      <t>エン</t>
    </rPh>
    <phoneticPr fontId="1"/>
  </si>
  <si>
    <t>～</t>
    <phoneticPr fontId="1"/>
  </si>
  <si>
    <t>①</t>
    <phoneticPr fontId="1"/>
  </si>
  <si>
    <t>①　の　金　額</t>
    <rPh sb="4" eb="5">
      <t>キン</t>
    </rPh>
    <rPh sb="6" eb="7">
      <t>ガク</t>
    </rPh>
    <phoneticPr fontId="1"/>
  </si>
  <si>
    <t>給与所得の金額</t>
    <rPh sb="0" eb="2">
      <t>キュウヨ</t>
    </rPh>
    <rPh sb="2" eb="4">
      <t>ショトク</t>
    </rPh>
    <rPh sb="5" eb="7">
      <t>キンガク</t>
    </rPh>
    <phoneticPr fontId="1"/>
  </si>
  <si>
    <t>算出方法</t>
    <rPh sb="0" eb="2">
      <t>サンシュツ</t>
    </rPh>
    <rPh sb="2" eb="4">
      <t>ホウホウ</t>
    </rPh>
    <phoneticPr fontId="1"/>
  </si>
  <si>
    <t>0円</t>
    <rPh sb="1" eb="2">
      <t>エン</t>
    </rPh>
    <phoneticPr fontId="1"/>
  </si>
  <si>
    <t>公的年金等の収入金額</t>
    <rPh sb="0" eb="2">
      <t>コウテキ</t>
    </rPh>
    <rPh sb="2" eb="5">
      <t>ネンキントウ</t>
    </rPh>
    <rPh sb="6" eb="8">
      <t>シュウニュウ</t>
    </rPh>
    <rPh sb="8" eb="10">
      <t>キンガク</t>
    </rPh>
    <phoneticPr fontId="1"/>
  </si>
  <si>
    <t>雑所得の金額</t>
    <rPh sb="0" eb="1">
      <t>ザツ</t>
    </rPh>
    <rPh sb="1" eb="3">
      <t>ショトク</t>
    </rPh>
    <rPh sb="4" eb="6">
      <t>キンガク</t>
    </rPh>
    <phoneticPr fontId="1"/>
  </si>
  <si>
    <t>65歳以上の方の計算</t>
    <rPh sb="2" eb="5">
      <t>サイイジョウ</t>
    </rPh>
    <rPh sb="6" eb="7">
      <t>カタ</t>
    </rPh>
    <rPh sb="8" eb="10">
      <t>ケイサン</t>
    </rPh>
    <phoneticPr fontId="1"/>
  </si>
  <si>
    <t>歳</t>
    <rPh sb="0" eb="1">
      <t>サイ</t>
    </rPh>
    <phoneticPr fontId="1"/>
  </si>
  <si>
    <t>その年の１２月３１日時点の年齢</t>
    <rPh sb="2" eb="3">
      <t>トシ</t>
    </rPh>
    <rPh sb="6" eb="7">
      <t>ガツ</t>
    </rPh>
    <rPh sb="9" eb="10">
      <t>ニチ</t>
    </rPh>
    <rPh sb="10" eb="12">
      <t>ジテン</t>
    </rPh>
    <rPh sb="13" eb="15">
      <t>ネンレイ</t>
    </rPh>
    <phoneticPr fontId="1"/>
  </si>
  <si>
    <t>氏名</t>
    <rPh sb="0" eb="2">
      <t>シメイ</t>
    </rPh>
    <phoneticPr fontId="5"/>
  </si>
  <si>
    <t>年齢</t>
    <rPh sb="0" eb="2">
      <t>ネンレイ</t>
    </rPh>
    <phoneticPr fontId="5"/>
  </si>
  <si>
    <t>基準総所得</t>
    <rPh sb="0" eb="2">
      <t>キジュン</t>
    </rPh>
    <rPh sb="2" eb="5">
      <t>ソウショトク</t>
    </rPh>
    <phoneticPr fontId="5"/>
  </si>
  <si>
    <t>介護該当</t>
    <rPh sb="0" eb="2">
      <t>カイゴ</t>
    </rPh>
    <rPh sb="2" eb="4">
      <t>ガイトウ</t>
    </rPh>
    <phoneticPr fontId="5"/>
  </si>
  <si>
    <t>世帯主が国民健康保険に加入しますか？（１＝はい、2＝いいえ）</t>
    <rPh sb="0" eb="3">
      <t>セタイヌシ</t>
    </rPh>
    <rPh sb="4" eb="10">
      <t>コクホ</t>
    </rPh>
    <rPh sb="11" eb="13">
      <t>カニュウ</t>
    </rPh>
    <phoneticPr fontId="5"/>
  </si>
  <si>
    <t>Q3</t>
    <phoneticPr fontId="5"/>
  </si>
  <si>
    <t>【算定結果】</t>
    <rPh sb="1" eb="3">
      <t>サンテイ</t>
    </rPh>
    <rPh sb="3" eb="5">
      <t>ケッカ</t>
    </rPh>
    <phoneticPr fontId="5"/>
  </si>
  <si>
    <t>被保険者数</t>
    <rPh sb="0" eb="4">
      <t>ヒホケンシャ</t>
    </rPh>
    <rPh sb="4" eb="5">
      <t>スウ</t>
    </rPh>
    <phoneticPr fontId="5"/>
  </si>
  <si>
    <t>課税対象所得</t>
    <rPh sb="0" eb="2">
      <t>カゼイ</t>
    </rPh>
    <rPh sb="2" eb="4">
      <t>タイショウ</t>
    </rPh>
    <rPh sb="4" eb="6">
      <t>ショトク</t>
    </rPh>
    <phoneticPr fontId="5"/>
  </si>
  <si>
    <t>医療分</t>
    <rPh sb="0" eb="2">
      <t>イリョウ</t>
    </rPh>
    <rPh sb="2" eb="3">
      <t>ブン</t>
    </rPh>
    <phoneticPr fontId="5"/>
  </si>
  <si>
    <t>後期分</t>
    <rPh sb="0" eb="2">
      <t>コウキ</t>
    </rPh>
    <rPh sb="2" eb="3">
      <t>ブン</t>
    </rPh>
    <phoneticPr fontId="5"/>
  </si>
  <si>
    <t>介護分</t>
    <rPh sb="0" eb="2">
      <t>カイゴ</t>
    </rPh>
    <rPh sb="2" eb="3">
      <t>ブン</t>
    </rPh>
    <phoneticPr fontId="5"/>
  </si>
  <si>
    <t>軽減判定</t>
    <rPh sb="0" eb="2">
      <t>ケイゲン</t>
    </rPh>
    <rPh sb="2" eb="4">
      <t>ハンテイ</t>
    </rPh>
    <phoneticPr fontId="5"/>
  </si>
  <si>
    <t>税率</t>
    <rPh sb="0" eb="2">
      <t>ゼイリツ</t>
    </rPh>
    <phoneticPr fontId="5"/>
  </si>
  <si>
    <t>区分</t>
    <rPh sb="0" eb="2">
      <t>クブン</t>
    </rPh>
    <phoneticPr fontId="5"/>
  </si>
  <si>
    <t>所得割</t>
    <rPh sb="0" eb="2">
      <t>ショトク</t>
    </rPh>
    <rPh sb="2" eb="3">
      <t>ワリ</t>
    </rPh>
    <phoneticPr fontId="5"/>
  </si>
  <si>
    <t>均等割</t>
    <rPh sb="0" eb="3">
      <t>キントウワ</t>
    </rPh>
    <phoneticPr fontId="5"/>
  </si>
  <si>
    <t>平等割</t>
    <rPh sb="0" eb="2">
      <t>ビョウドウ</t>
    </rPh>
    <rPh sb="2" eb="3">
      <t>ワリ</t>
    </rPh>
    <phoneticPr fontId="5"/>
  </si>
  <si>
    <t>均等割軽減額</t>
    <rPh sb="0" eb="3">
      <t>キントウワ</t>
    </rPh>
    <rPh sb="3" eb="5">
      <t>ケイゲン</t>
    </rPh>
    <rPh sb="5" eb="6">
      <t>ガク</t>
    </rPh>
    <phoneticPr fontId="5"/>
  </si>
  <si>
    <t>課税限度額</t>
    <rPh sb="0" eb="2">
      <t>カゼイ</t>
    </rPh>
    <rPh sb="2" eb="4">
      <t>ゲンド</t>
    </rPh>
    <rPh sb="4" eb="5">
      <t>ガク</t>
    </rPh>
    <phoneticPr fontId="5"/>
  </si>
  <si>
    <t>平等割軽減額</t>
    <rPh sb="0" eb="2">
      <t>ビョウドウ</t>
    </rPh>
    <rPh sb="2" eb="3">
      <t>ワリ</t>
    </rPh>
    <rPh sb="3" eb="5">
      <t>ケイゲン</t>
    </rPh>
    <rPh sb="5" eb="6">
      <t>ガク</t>
    </rPh>
    <phoneticPr fontId="5"/>
  </si>
  <si>
    <t>限度超過額</t>
    <rPh sb="0" eb="2">
      <t>ゲンド</t>
    </rPh>
    <rPh sb="2" eb="5">
      <t>チョウカガク</t>
    </rPh>
    <phoneticPr fontId="5"/>
  </si>
  <si>
    <t>算定額</t>
    <rPh sb="0" eb="2">
      <t>サンテイ</t>
    </rPh>
    <rPh sb="2" eb="3">
      <t>ガク</t>
    </rPh>
    <phoneticPr fontId="5"/>
  </si>
  <si>
    <t>あなたの世帯の１年間の保険税額は</t>
    <rPh sb="14" eb="15">
      <t>ガク</t>
    </rPh>
    <phoneticPr fontId="5"/>
  </si>
  <si>
    <t>円です。</t>
    <rPh sb="0" eb="1">
      <t>エン</t>
    </rPh>
    <phoneticPr fontId="5"/>
  </si>
  <si>
    <t>1期あたりの保険税額は、約</t>
    <rPh sb="1" eb="2">
      <t>キ</t>
    </rPh>
    <phoneticPr fontId="5"/>
  </si>
  <si>
    <t>Q1</t>
    <phoneticPr fontId="5"/>
  </si>
  <si>
    <t>Q2</t>
    <phoneticPr fontId="5"/>
  </si>
  <si>
    <r>
      <t>世帯主が国民健康保険に加入しない場合には、</t>
    </r>
    <r>
      <rPr>
        <b/>
        <sz val="12"/>
        <color indexed="8"/>
        <rFont val="HGS創英角ｺﾞｼｯｸUB"/>
        <family val="3"/>
        <charset val="128"/>
      </rPr>
      <t>「</t>
    </r>
    <r>
      <rPr>
        <b/>
        <sz val="16"/>
        <color indexed="8"/>
        <rFont val="HGS創英角ｺﾞｼｯｸUB"/>
        <family val="3"/>
        <charset val="128"/>
      </rPr>
      <t>世帯主の所得」</t>
    </r>
    <r>
      <rPr>
        <sz val="12"/>
        <color indexed="8"/>
        <rFont val="HGS創英角ｺﾞｼｯｸUB"/>
        <family val="3"/>
        <charset val="128"/>
      </rPr>
      <t>を入力してください。</t>
    </r>
    <rPh sb="0" eb="3">
      <t>セタイヌシ</t>
    </rPh>
    <rPh sb="4" eb="10">
      <t>コクホ</t>
    </rPh>
    <rPh sb="11" eb="13">
      <t>カニュウ</t>
    </rPh>
    <rPh sb="16" eb="18">
      <t>バアイ</t>
    </rPh>
    <rPh sb="22" eb="25">
      <t>セタイヌシ</t>
    </rPh>
    <rPh sb="26" eb="28">
      <t>ショトク</t>
    </rPh>
    <rPh sb="30" eb="32">
      <t>ニュウリョク</t>
    </rPh>
    <phoneticPr fontId="5"/>
  </si>
  <si>
    <t>所得金額</t>
    <rPh sb="0" eb="2">
      <t>ショトク</t>
    </rPh>
    <rPh sb="2" eb="4">
      <t>キンガク</t>
    </rPh>
    <phoneticPr fontId="5"/>
  </si>
  <si>
    <t>軽減基準所得</t>
    <rPh sb="0" eb="2">
      <t>ケイゲン</t>
    </rPh>
    <rPh sb="2" eb="4">
      <t>キジュン</t>
    </rPh>
    <rPh sb="4" eb="6">
      <t>ショトク</t>
    </rPh>
    <phoneticPr fontId="5"/>
  </si>
  <si>
    <t>軽減割合</t>
    <rPh sb="0" eb="2">
      <t>ケイゲン</t>
    </rPh>
    <rPh sb="2" eb="4">
      <t>ワリアイ</t>
    </rPh>
    <phoneticPr fontId="5"/>
  </si>
  <si>
    <t>前年中の世帯総所得金額等（世帯主と国保加入者の所得の合計額）</t>
    <rPh sb="0" eb="2">
      <t>ゼンネン</t>
    </rPh>
    <rPh sb="2" eb="3">
      <t>チュウ</t>
    </rPh>
    <rPh sb="4" eb="6">
      <t>セタイ</t>
    </rPh>
    <rPh sb="6" eb="9">
      <t>ソウショトク</t>
    </rPh>
    <rPh sb="9" eb="11">
      <t>キンガク</t>
    </rPh>
    <rPh sb="11" eb="12">
      <t>トウ</t>
    </rPh>
    <rPh sb="13" eb="16">
      <t>セタイヌシ</t>
    </rPh>
    <rPh sb="17" eb="19">
      <t>コクホ</t>
    </rPh>
    <rPh sb="19" eb="22">
      <t>カニュウシャ</t>
    </rPh>
    <rPh sb="23" eb="25">
      <t>ショトク</t>
    </rPh>
    <rPh sb="26" eb="28">
      <t>ゴウケイ</t>
    </rPh>
    <rPh sb="28" eb="29">
      <t>ガク</t>
    </rPh>
    <phoneticPr fontId="5"/>
  </si>
  <si>
    <t>７割軽減</t>
    <rPh sb="1" eb="2">
      <t>ワ</t>
    </rPh>
    <rPh sb="2" eb="4">
      <t>ケイゲン</t>
    </rPh>
    <phoneticPr fontId="5"/>
  </si>
  <si>
    <t>５割軽減</t>
    <rPh sb="1" eb="2">
      <t>ワリ</t>
    </rPh>
    <rPh sb="2" eb="4">
      <t>ケイゲン</t>
    </rPh>
    <phoneticPr fontId="5"/>
  </si>
  <si>
    <t>２割軽減</t>
    <rPh sb="1" eb="2">
      <t>ワリ</t>
    </rPh>
    <rPh sb="2" eb="4">
      <t>ケイゲン</t>
    </rPh>
    <phoneticPr fontId="5"/>
  </si>
  <si>
    <t>1ヶ月あたりの保険税額は、約</t>
    <phoneticPr fontId="5"/>
  </si>
  <si>
    <t>支援金分</t>
    <rPh sb="0" eb="3">
      <t>シエンキン</t>
    </rPh>
    <rPh sb="3" eb="4">
      <t>ブン</t>
    </rPh>
    <phoneticPr fontId="5"/>
  </si>
  <si>
    <t>所得割</t>
    <rPh sb="0" eb="2">
      <t>ショトク</t>
    </rPh>
    <rPh sb="2" eb="3">
      <t>ワリ</t>
    </rPh>
    <phoneticPr fontId="1"/>
  </si>
  <si>
    <t>均等割</t>
    <rPh sb="0" eb="3">
      <t>キントウワリ</t>
    </rPh>
    <phoneticPr fontId="1"/>
  </si>
  <si>
    <t>平等割</t>
    <rPh sb="0" eb="2">
      <t>ビョウドウ</t>
    </rPh>
    <rPh sb="2" eb="3">
      <t>ワリ</t>
    </rPh>
    <phoneticPr fontId="1"/>
  </si>
  <si>
    <t>給与収入の場合</t>
    <rPh sb="0" eb="2">
      <t>キュウヨ</t>
    </rPh>
    <rPh sb="2" eb="4">
      <t>シュウニュウ</t>
    </rPh>
    <rPh sb="5" eb="7">
      <t>バアイ</t>
    </rPh>
    <phoneticPr fontId="1"/>
  </si>
  <si>
    <t>【①所得割】</t>
    <rPh sb="2" eb="4">
      <t>ショトク</t>
    </rPh>
    <rPh sb="4" eb="5">
      <t>ワリ</t>
    </rPh>
    <phoneticPr fontId="1"/>
  </si>
  <si>
    <t>収入金額</t>
    <rPh sb="0" eb="2">
      <t>シュウニュウ</t>
    </rPh>
    <rPh sb="2" eb="3">
      <t>キン</t>
    </rPh>
    <rPh sb="3" eb="4">
      <t>ガク</t>
    </rPh>
    <phoneticPr fontId="1"/>
  </si>
  <si>
    <t>所得金額</t>
    <rPh sb="0" eb="2">
      <t>ショトク</t>
    </rPh>
    <rPh sb="2" eb="3">
      <t>キン</t>
    </rPh>
    <rPh sb="3" eb="4">
      <t>ガク</t>
    </rPh>
    <phoneticPr fontId="1"/>
  </si>
  <si>
    <t>基準総所得金額</t>
    <rPh sb="0" eb="2">
      <t>キジュン</t>
    </rPh>
    <rPh sb="2" eb="5">
      <t>ソウショトク</t>
    </rPh>
    <rPh sb="5" eb="7">
      <t>キンガク</t>
    </rPh>
    <phoneticPr fontId="1"/>
  </si>
  <si>
    <t>保　険　税　額</t>
    <rPh sb="0" eb="1">
      <t>ホ</t>
    </rPh>
    <rPh sb="2" eb="3">
      <t>ケン</t>
    </rPh>
    <rPh sb="4" eb="5">
      <t>ゼイ</t>
    </rPh>
    <rPh sb="6" eb="7">
      <t>ガク</t>
    </rPh>
    <phoneticPr fontId="1"/>
  </si>
  <si>
    <t>医療分</t>
    <rPh sb="0" eb="2">
      <t>イリョウ</t>
    </rPh>
    <rPh sb="2" eb="3">
      <t>ブン</t>
    </rPh>
    <phoneticPr fontId="1"/>
  </si>
  <si>
    <t>支援金分</t>
    <rPh sb="0" eb="3">
      <t>シエンキン</t>
    </rPh>
    <rPh sb="3" eb="4">
      <t>ブン</t>
    </rPh>
    <phoneticPr fontId="1"/>
  </si>
  <si>
    <r>
      <t xml:space="preserve">介護分
</t>
    </r>
    <r>
      <rPr>
        <sz val="11"/>
        <color theme="1"/>
        <rFont val="メイリオ"/>
        <family val="3"/>
        <charset val="128"/>
      </rPr>
      <t>（40～64歳）</t>
    </r>
    <rPh sb="0" eb="2">
      <t>カイゴ</t>
    </rPh>
    <rPh sb="2" eb="3">
      <t>ブン</t>
    </rPh>
    <rPh sb="10" eb="11">
      <t>サイ</t>
    </rPh>
    <phoneticPr fontId="1"/>
  </si>
  <si>
    <t>合計</t>
    <rPh sb="0" eb="2">
      <t>ゴウケイ</t>
    </rPh>
    <phoneticPr fontId="1"/>
  </si>
  <si>
    <t>被保険者数</t>
    <rPh sb="0" eb="4">
      <t>ヒホケンシャ</t>
    </rPh>
    <rPh sb="4" eb="5">
      <t>スウ</t>
    </rPh>
    <phoneticPr fontId="1"/>
  </si>
  <si>
    <t>1世帯あたり</t>
    <rPh sb="1" eb="3">
      <t>セタイ</t>
    </rPh>
    <phoneticPr fontId="1"/>
  </si>
  <si>
    <t>７割軽減</t>
    <rPh sb="1" eb="2">
      <t>ワ</t>
    </rPh>
    <rPh sb="2" eb="4">
      <t>ケイゲン</t>
    </rPh>
    <phoneticPr fontId="1"/>
  </si>
  <si>
    <t>５割軽減</t>
    <rPh sb="1" eb="2">
      <t>ワリ</t>
    </rPh>
    <rPh sb="2" eb="4">
      <t>ケイゲン</t>
    </rPh>
    <phoneticPr fontId="1"/>
  </si>
  <si>
    <t>２割軽減</t>
    <rPh sb="1" eb="2">
      <t>ワリ</t>
    </rPh>
    <rPh sb="2" eb="4">
      <t>ケイゲン</t>
    </rPh>
    <phoneticPr fontId="1"/>
  </si>
  <si>
    <t>国民健康保険加入者の「氏名」・「年齢」・「所得金額」を個別に入力してください。</t>
    <rPh sb="0" eb="6">
      <t>コクホ</t>
    </rPh>
    <rPh sb="6" eb="9">
      <t>カニュウシャ</t>
    </rPh>
    <rPh sb="11" eb="13">
      <t>シメイ</t>
    </rPh>
    <rPh sb="16" eb="18">
      <t>ネンレイ</t>
    </rPh>
    <rPh sb="21" eb="23">
      <t>ショトク</t>
    </rPh>
    <rPh sb="23" eb="24">
      <t>キン</t>
    </rPh>
    <rPh sb="24" eb="25">
      <t>ガク</t>
    </rPh>
    <rPh sb="27" eb="29">
      <t>コベツ</t>
    </rPh>
    <rPh sb="30" eb="32">
      <t>ニュウリョク</t>
    </rPh>
    <phoneticPr fontId="5"/>
  </si>
  <si>
    <t>【②均等割】</t>
    <rPh sb="2" eb="5">
      <t>キントウワ</t>
    </rPh>
    <phoneticPr fontId="1"/>
  </si>
  <si>
    <t>【③平等割】</t>
    <rPh sb="2" eb="4">
      <t>ビョウドウ</t>
    </rPh>
    <rPh sb="4" eb="5">
      <t>ワリ</t>
    </rPh>
    <phoneticPr fontId="1"/>
  </si>
  <si>
    <t>①－550,000円</t>
    <rPh sb="9" eb="10">
      <t>エン</t>
    </rPh>
    <phoneticPr fontId="1"/>
  </si>
  <si>
    <t>1,069,000円</t>
    <rPh sb="9" eb="10">
      <t>エン</t>
    </rPh>
    <phoneticPr fontId="1"/>
  </si>
  <si>
    <t>1,070,000円</t>
    <rPh sb="9" eb="10">
      <t>エン</t>
    </rPh>
    <phoneticPr fontId="1"/>
  </si>
  <si>
    <t>1,072,000円</t>
    <rPh sb="9" eb="10">
      <t>エン</t>
    </rPh>
    <phoneticPr fontId="1"/>
  </si>
  <si>
    <t>1,074,000円</t>
    <rPh sb="9" eb="10">
      <t>エン</t>
    </rPh>
    <phoneticPr fontId="1"/>
  </si>
  <si>
    <t>①÷4（千円未満の端数切捨て）×2.4＋100,000円</t>
    <rPh sb="4" eb="6">
      <t>センエン</t>
    </rPh>
    <rPh sb="6" eb="8">
      <t>ミマン</t>
    </rPh>
    <rPh sb="9" eb="11">
      <t>ハスウ</t>
    </rPh>
    <rPh sb="11" eb="13">
      <t>キリス</t>
    </rPh>
    <rPh sb="27" eb="28">
      <t>エン</t>
    </rPh>
    <phoneticPr fontId="1"/>
  </si>
  <si>
    <t>①÷4（千円未満の端数切捨て）×2.8－80,000円</t>
    <rPh sb="4" eb="6">
      <t>センエン</t>
    </rPh>
    <rPh sb="6" eb="8">
      <t>ミマン</t>
    </rPh>
    <rPh sb="9" eb="11">
      <t>ハスウ</t>
    </rPh>
    <rPh sb="11" eb="13">
      <t>キリス</t>
    </rPh>
    <rPh sb="26" eb="27">
      <t>エン</t>
    </rPh>
    <phoneticPr fontId="1"/>
  </si>
  <si>
    <t>①÷4（千円未満の端数切捨て）×3.2－440,000円</t>
    <rPh sb="4" eb="6">
      <t>センエン</t>
    </rPh>
    <rPh sb="6" eb="8">
      <t>ミマン</t>
    </rPh>
    <rPh sb="9" eb="11">
      <t>ハスウ</t>
    </rPh>
    <rPh sb="11" eb="13">
      <t>キリス</t>
    </rPh>
    <rPh sb="27" eb="28">
      <t>エン</t>
    </rPh>
    <phoneticPr fontId="1"/>
  </si>
  <si>
    <t>①×0.9－1,100,000円</t>
    <rPh sb="15" eb="16">
      <t>エン</t>
    </rPh>
    <phoneticPr fontId="1"/>
  </si>
  <si>
    <t>①－1,950,000円</t>
    <rPh sb="11" eb="12">
      <t>エン</t>
    </rPh>
    <phoneticPr fontId="1"/>
  </si>
  <si>
    <t>所得金額調整控除</t>
    <rPh sb="0" eb="2">
      <t>ショトク</t>
    </rPh>
    <rPh sb="2" eb="4">
      <t>キンガク</t>
    </rPh>
    <rPh sb="4" eb="6">
      <t>チョウセイ</t>
    </rPh>
    <rPh sb="6" eb="8">
      <t>コウジョ</t>
    </rPh>
    <phoneticPr fontId="1"/>
  </si>
  <si>
    <t>22歳以下の扶養親族を有する</t>
    <rPh sb="2" eb="3">
      <t>サイ</t>
    </rPh>
    <rPh sb="3" eb="5">
      <t>イカ</t>
    </rPh>
    <rPh sb="6" eb="8">
      <t>フヨウ</t>
    </rPh>
    <rPh sb="8" eb="10">
      <t>シンゾク</t>
    </rPh>
    <rPh sb="11" eb="12">
      <t>ユウ</t>
    </rPh>
    <phoneticPr fontId="1"/>
  </si>
  <si>
    <t>特別障害者である同一生計配偶者を有する</t>
    <rPh sb="0" eb="2">
      <t>トクベツ</t>
    </rPh>
    <rPh sb="2" eb="5">
      <t>ショウガイシャ</t>
    </rPh>
    <rPh sb="8" eb="10">
      <t>ドウイツ</t>
    </rPh>
    <rPh sb="10" eb="12">
      <t>セイケイ</t>
    </rPh>
    <rPh sb="12" eb="15">
      <t>ハイグウシャ</t>
    </rPh>
    <rPh sb="16" eb="17">
      <t>ユウ</t>
    </rPh>
    <phoneticPr fontId="1"/>
  </si>
  <si>
    <t>特別障害者である扶養親族を有する</t>
    <rPh sb="0" eb="2">
      <t>トクベツ</t>
    </rPh>
    <rPh sb="2" eb="5">
      <t>ショウガイシャ</t>
    </rPh>
    <rPh sb="8" eb="10">
      <t>フヨウ</t>
    </rPh>
    <rPh sb="10" eb="12">
      <t>シンゾク</t>
    </rPh>
    <rPh sb="13" eb="14">
      <t>ユウ</t>
    </rPh>
    <phoneticPr fontId="1"/>
  </si>
  <si>
    <t>（給与等の収入金額－850万円）×0.1</t>
    <rPh sb="1" eb="3">
      <t>キュウヨ</t>
    </rPh>
    <rPh sb="3" eb="4">
      <t>トウ</t>
    </rPh>
    <rPh sb="5" eb="7">
      <t>シュウニュウ</t>
    </rPh>
    <rPh sb="7" eb="9">
      <t>キンガク</t>
    </rPh>
    <rPh sb="13" eb="15">
      <t>マンエン</t>
    </rPh>
    <phoneticPr fontId="1"/>
  </si>
  <si>
    <t>所得額</t>
    <rPh sb="0" eb="2">
      <t>ショトク</t>
    </rPh>
    <rPh sb="2" eb="3">
      <t>ガク</t>
    </rPh>
    <phoneticPr fontId="1"/>
  </si>
  <si>
    <t>①－600,000円</t>
    <rPh sb="9" eb="10">
      <t>エン</t>
    </rPh>
    <phoneticPr fontId="1"/>
  </si>
  <si>
    <t>①×0.75－275,000円</t>
    <rPh sb="14" eb="15">
      <t>エン</t>
    </rPh>
    <phoneticPr fontId="1"/>
  </si>
  <si>
    <t>①×0.85－685,000円</t>
    <rPh sb="14" eb="15">
      <t>エン</t>
    </rPh>
    <phoneticPr fontId="1"/>
  </si>
  <si>
    <t>①×0.95－1,455,000円</t>
    <rPh sb="16" eb="17">
      <t>エン</t>
    </rPh>
    <phoneticPr fontId="1"/>
  </si>
  <si>
    <t>①－1,955,000円</t>
    <rPh sb="11" eb="12">
      <t>エン</t>
    </rPh>
    <phoneticPr fontId="1"/>
  </si>
  <si>
    <t>円</t>
    <rPh sb="0" eb="1">
      <t>エン</t>
    </rPh>
    <phoneticPr fontId="1"/>
  </si>
  <si>
    <t>所得金額調整控除額計算（年収850万超の場合のみお答えください）</t>
    <rPh sb="0" eb="2">
      <t>ショトク</t>
    </rPh>
    <rPh sb="2" eb="4">
      <t>キンガク</t>
    </rPh>
    <rPh sb="4" eb="6">
      <t>チョウセイ</t>
    </rPh>
    <rPh sb="6" eb="8">
      <t>コウジョ</t>
    </rPh>
    <rPh sb="8" eb="9">
      <t>ガク</t>
    </rPh>
    <rPh sb="9" eb="11">
      <t>ケイサン</t>
    </rPh>
    <rPh sb="12" eb="14">
      <t>ネンシュウ</t>
    </rPh>
    <rPh sb="17" eb="18">
      <t>マン</t>
    </rPh>
    <rPh sb="18" eb="19">
      <t>チョウ</t>
    </rPh>
    <rPh sb="20" eb="22">
      <t>バアイ</t>
    </rPh>
    <rPh sb="25" eb="26">
      <t>コタ</t>
    </rPh>
    <phoneticPr fontId="1"/>
  </si>
  <si>
    <t>自分が特別障害者に該当する</t>
    <rPh sb="0" eb="2">
      <t>ジブン</t>
    </rPh>
    <rPh sb="3" eb="5">
      <t>トクベツ</t>
    </rPh>
    <rPh sb="5" eb="8">
      <t>ショウガイシャ</t>
    </rPh>
    <rPh sb="9" eb="11">
      <t>ガイトウ</t>
    </rPh>
    <phoneticPr fontId="1"/>
  </si>
  <si>
    <t>給与等の所得金額(調整控除反映後）</t>
    <rPh sb="0" eb="2">
      <t>キュウヨ</t>
    </rPh>
    <rPh sb="2" eb="3">
      <t>トウ</t>
    </rPh>
    <rPh sb="4" eb="6">
      <t>ショトク</t>
    </rPh>
    <rPh sb="6" eb="8">
      <t>キンガク</t>
    </rPh>
    <rPh sb="9" eb="11">
      <t>チョウセイ</t>
    </rPh>
    <rPh sb="11" eb="13">
      <t>コウジョ</t>
    </rPh>
    <rPh sb="13" eb="15">
      <t>ハンエイ</t>
    </rPh>
    <rPh sb="15" eb="16">
      <t>ゴ</t>
    </rPh>
    <phoneticPr fontId="1"/>
  </si>
  <si>
    <t>65歳未満の方の計算</t>
    <rPh sb="2" eb="5">
      <t>サイミマン</t>
    </rPh>
    <rPh sb="6" eb="7">
      <t>カタ</t>
    </rPh>
    <rPh sb="8" eb="10">
      <t>ケイサン</t>
    </rPh>
    <phoneticPr fontId="1"/>
  </si>
  <si>
    <t>①－500,000円</t>
    <rPh sb="9" eb="10">
      <t>エン</t>
    </rPh>
    <phoneticPr fontId="1"/>
  </si>
  <si>
    <t>①×0.75－175,000円</t>
    <rPh sb="14" eb="15">
      <t>エン</t>
    </rPh>
    <phoneticPr fontId="1"/>
  </si>
  <si>
    <t>①×0.85－585,000円</t>
    <rPh sb="14" eb="15">
      <t>エン</t>
    </rPh>
    <phoneticPr fontId="1"/>
  </si>
  <si>
    <t>①×0.95－1,355,000円</t>
    <rPh sb="16" eb="17">
      <t>エン</t>
    </rPh>
    <phoneticPr fontId="1"/>
  </si>
  <si>
    <t>①－1,855,000円</t>
    <rPh sb="11" eb="12">
      <t>エン</t>
    </rPh>
    <phoneticPr fontId="1"/>
  </si>
  <si>
    <t>①－1,000,000円</t>
    <rPh sb="11" eb="12">
      <t>エン</t>
    </rPh>
    <phoneticPr fontId="1"/>
  </si>
  <si>
    <t>①－400,000円</t>
    <rPh sb="9" eb="10">
      <t>エン</t>
    </rPh>
    <phoneticPr fontId="1"/>
  </si>
  <si>
    <t>①×0.75－75,000円</t>
    <rPh sb="13" eb="14">
      <t>エン</t>
    </rPh>
    <phoneticPr fontId="1"/>
  </si>
  <si>
    <t>①×0.85－485,000円</t>
    <rPh sb="14" eb="15">
      <t>エン</t>
    </rPh>
    <phoneticPr fontId="1"/>
  </si>
  <si>
    <t>①×0.95－1,255,000円</t>
    <rPh sb="16" eb="17">
      <t>エン</t>
    </rPh>
    <phoneticPr fontId="1"/>
  </si>
  <si>
    <t>①－1,755,000円</t>
    <rPh sb="11" eb="12">
      <t>エン</t>
    </rPh>
    <phoneticPr fontId="1"/>
  </si>
  <si>
    <t>①－900,000円</t>
    <rPh sb="9" eb="10">
      <t>エン</t>
    </rPh>
    <phoneticPr fontId="1"/>
  </si>
  <si>
    <t>公的年金以外の合計所得が1,000万以下の場合</t>
    <rPh sb="0" eb="2">
      <t>コウテキ</t>
    </rPh>
    <rPh sb="2" eb="4">
      <t>ネンキン</t>
    </rPh>
    <rPh sb="4" eb="6">
      <t>イガイ</t>
    </rPh>
    <rPh sb="7" eb="9">
      <t>ゴウケイ</t>
    </rPh>
    <rPh sb="9" eb="11">
      <t>ショトク</t>
    </rPh>
    <rPh sb="17" eb="18">
      <t>マン</t>
    </rPh>
    <rPh sb="18" eb="20">
      <t>イカ</t>
    </rPh>
    <rPh sb="21" eb="23">
      <t>バアイ</t>
    </rPh>
    <phoneticPr fontId="1"/>
  </si>
  <si>
    <t>1,000万～2,000万円の場合</t>
    <rPh sb="5" eb="6">
      <t>マン</t>
    </rPh>
    <rPh sb="12" eb="13">
      <t>マン</t>
    </rPh>
    <rPh sb="13" eb="14">
      <t>エン</t>
    </rPh>
    <rPh sb="15" eb="17">
      <t>バアイ</t>
    </rPh>
    <phoneticPr fontId="1"/>
  </si>
  <si>
    <t>2,001万円～</t>
    <rPh sb="5" eb="6">
      <t>マン</t>
    </rPh>
    <rPh sb="6" eb="7">
      <t>エン</t>
    </rPh>
    <phoneticPr fontId="1"/>
  </si>
  <si>
    <t>①－1,100,000円</t>
    <rPh sb="3" eb="12">
      <t>１０００００エン</t>
    </rPh>
    <phoneticPr fontId="1"/>
  </si>
  <si>
    <t>円</t>
    <phoneticPr fontId="1"/>
  </si>
  <si>
    <t>給与所得</t>
    <rPh sb="0" eb="2">
      <t>キュウヨ</t>
    </rPh>
    <rPh sb="2" eb="4">
      <t>ショトク</t>
    </rPh>
    <phoneticPr fontId="5"/>
  </si>
  <si>
    <t>年金所得</t>
    <rPh sb="0" eb="2">
      <t>ネンキン</t>
    </rPh>
    <rPh sb="2" eb="4">
      <t>ショトク</t>
    </rPh>
    <phoneticPr fontId="5"/>
  </si>
  <si>
    <t>その他所得金額</t>
    <rPh sb="2" eb="3">
      <t>タ</t>
    </rPh>
    <rPh sb="3" eb="5">
      <t>ショトク</t>
    </rPh>
    <rPh sb="5" eb="6">
      <t>キン</t>
    </rPh>
    <rPh sb="6" eb="7">
      <t>ガク</t>
    </rPh>
    <phoneticPr fontId="1"/>
  </si>
  <si>
    <t>合計所得金額</t>
    <rPh sb="0" eb="2">
      <t>ゴウケイ</t>
    </rPh>
    <rPh sb="2" eb="4">
      <t>ショトク</t>
    </rPh>
    <rPh sb="4" eb="6">
      <t>キンガク</t>
    </rPh>
    <phoneticPr fontId="1"/>
  </si>
  <si>
    <t>人数</t>
    <rPh sb="0" eb="2">
      <t>ニンズウ</t>
    </rPh>
    <phoneticPr fontId="5"/>
  </si>
  <si>
    <r>
      <rPr>
        <b/>
        <sz val="12"/>
        <color indexed="8"/>
        <rFont val="HGS創英角ｺﾞｼｯｸUB"/>
        <family val="3"/>
        <charset val="128"/>
      </rPr>
      <t>「</t>
    </r>
    <r>
      <rPr>
        <b/>
        <sz val="16"/>
        <color indexed="8"/>
        <rFont val="HGS創英角ｺﾞｼｯｸUB"/>
        <family val="3"/>
        <charset val="128"/>
      </rPr>
      <t>給与所得者・年金所得者の人数]</t>
    </r>
    <r>
      <rPr>
        <sz val="12"/>
        <color indexed="8"/>
        <rFont val="HGS創英角ｺﾞｼｯｸUB"/>
        <family val="3"/>
        <charset val="128"/>
      </rPr>
      <t>（擬制世帯主を含む）</t>
    </r>
    <rPh sb="1" eb="3">
      <t>キュウヨ</t>
    </rPh>
    <rPh sb="3" eb="5">
      <t>ショトク</t>
    </rPh>
    <rPh sb="5" eb="6">
      <t>シャ</t>
    </rPh>
    <rPh sb="7" eb="9">
      <t>ネンキン</t>
    </rPh>
    <rPh sb="9" eb="11">
      <t>ショトク</t>
    </rPh>
    <rPh sb="11" eb="12">
      <t>シャ</t>
    </rPh>
    <rPh sb="13" eb="15">
      <t>ニンズウ</t>
    </rPh>
    <rPh sb="17" eb="19">
      <t>ギセイ</t>
    </rPh>
    <rPh sb="19" eb="22">
      <t>セタイヌシ</t>
    </rPh>
    <rPh sb="23" eb="24">
      <t>フク</t>
    </rPh>
    <phoneticPr fontId="5"/>
  </si>
  <si>
    <t>円</t>
    <rPh sb="0" eb="1">
      <t>エン</t>
    </rPh>
    <phoneticPr fontId="1"/>
  </si>
  <si>
    <t>その他の合計所得金額</t>
    <rPh sb="2" eb="3">
      <t>タ</t>
    </rPh>
    <rPh sb="4" eb="6">
      <t>ゴウケイ</t>
    </rPh>
    <rPh sb="6" eb="8">
      <t>ショトク</t>
    </rPh>
    <rPh sb="8" eb="10">
      <t>キンガク</t>
    </rPh>
    <phoneticPr fontId="1"/>
  </si>
  <si>
    <t>調整控除</t>
    <rPh sb="0" eb="2">
      <t>チョウセイ</t>
    </rPh>
    <rPh sb="2" eb="4">
      <t>コウジョ</t>
    </rPh>
    <phoneticPr fontId="1"/>
  </si>
  <si>
    <t>※特定同一所属者とは、同一世帯で、後期高齢者医療制度へ移行したことにより、国保の資格を喪失した方。</t>
    <rPh sb="1" eb="3">
      <t>トクテイ</t>
    </rPh>
    <rPh sb="3" eb="5">
      <t>ドウイツ</t>
    </rPh>
    <rPh sb="5" eb="7">
      <t>ショゾク</t>
    </rPh>
    <rPh sb="7" eb="8">
      <t>シャ</t>
    </rPh>
    <rPh sb="11" eb="13">
      <t>ドウイツ</t>
    </rPh>
    <rPh sb="13" eb="15">
      <t>セタイ</t>
    </rPh>
    <rPh sb="17" eb="19">
      <t>コウキ</t>
    </rPh>
    <rPh sb="19" eb="22">
      <t>コウレイシャ</t>
    </rPh>
    <rPh sb="22" eb="24">
      <t>イリョウ</t>
    </rPh>
    <rPh sb="24" eb="26">
      <t>セイド</t>
    </rPh>
    <rPh sb="27" eb="29">
      <t>イコウ</t>
    </rPh>
    <rPh sb="37" eb="39">
      <t>コクホ</t>
    </rPh>
    <rPh sb="40" eb="42">
      <t>シカク</t>
    </rPh>
    <phoneticPr fontId="5"/>
  </si>
  <si>
    <t>円</t>
    <rPh sb="0" eb="1">
      <t>エン</t>
    </rPh>
    <phoneticPr fontId="1"/>
  </si>
  <si>
    <t>雑所得金額</t>
    <rPh sb="0" eb="3">
      <t>ザツショトク</t>
    </rPh>
    <rPh sb="3" eb="5">
      <t>キンガク</t>
    </rPh>
    <phoneticPr fontId="1"/>
  </si>
  <si>
    <t>なし</t>
    <phoneticPr fontId="1"/>
  </si>
  <si>
    <t>年金控除額</t>
    <rPh sb="0" eb="2">
      <t>ネンキン</t>
    </rPh>
    <rPh sb="2" eb="4">
      <t>コウジョ</t>
    </rPh>
    <rPh sb="4" eb="5">
      <t>ガク</t>
    </rPh>
    <phoneticPr fontId="1"/>
  </si>
  <si>
    <t>非該当</t>
    <phoneticPr fontId="1"/>
  </si>
  <si>
    <t>※給与所得者とは一定の給与所得者と公的年金等の支給を受ける方。</t>
    <rPh sb="1" eb="3">
      <t>キュウヨ</t>
    </rPh>
    <rPh sb="3" eb="5">
      <t>ショトク</t>
    </rPh>
    <rPh sb="5" eb="6">
      <t>シャ</t>
    </rPh>
    <rPh sb="8" eb="10">
      <t>イッテイ</t>
    </rPh>
    <rPh sb="11" eb="13">
      <t>キュウヨ</t>
    </rPh>
    <rPh sb="13" eb="15">
      <t>ショトク</t>
    </rPh>
    <rPh sb="15" eb="16">
      <t>シャ</t>
    </rPh>
    <rPh sb="17" eb="19">
      <t>コウテキ</t>
    </rPh>
    <rPh sb="19" eb="21">
      <t>ネンキン</t>
    </rPh>
    <rPh sb="21" eb="22">
      <t>トウ</t>
    </rPh>
    <rPh sb="23" eb="25">
      <t>シキュウ</t>
    </rPh>
    <rPh sb="26" eb="27">
      <t>ウ</t>
    </rPh>
    <rPh sb="29" eb="30">
      <t>カタ</t>
    </rPh>
    <phoneticPr fontId="5"/>
  </si>
  <si>
    <t>こども均等割軽減</t>
    <rPh sb="3" eb="6">
      <t>キントウワ</t>
    </rPh>
    <rPh sb="6" eb="8">
      <t>ケイゲン</t>
    </rPh>
    <phoneticPr fontId="1"/>
  </si>
  <si>
    <t>うち未就学児</t>
    <rPh sb="2" eb="6">
      <t>ミシュウガクジ</t>
    </rPh>
    <phoneticPr fontId="1"/>
  </si>
  <si>
    <t>あくまで試算ですので、加入後の決定通知書で金額をご確認ください。</t>
    <rPh sb="4" eb="6">
      <t>シサン</t>
    </rPh>
    <rPh sb="11" eb="14">
      <t>カニュウゴ</t>
    </rPh>
    <rPh sb="15" eb="17">
      <t>ケッテイ</t>
    </rPh>
    <rPh sb="17" eb="20">
      <t>ツウチショ</t>
    </rPh>
    <rPh sb="21" eb="23">
      <t>キンガク</t>
    </rPh>
    <rPh sb="25" eb="27">
      <t>カクニン</t>
    </rPh>
    <phoneticPr fontId="1"/>
  </si>
  <si>
    <t>令和6年度国民健康税試算表</t>
    <rPh sb="0" eb="2">
      <t>レイワ</t>
    </rPh>
    <rPh sb="3" eb="4">
      <t>ド</t>
    </rPh>
    <rPh sb="5" eb="7">
      <t>コクミン</t>
    </rPh>
    <rPh sb="6" eb="8">
      <t>ケンコウ</t>
    </rPh>
    <rPh sb="8" eb="9">
      <t>ゼイ</t>
    </rPh>
    <rPh sb="9" eb="12">
      <t>シサンヒョウ</t>
    </rPh>
    <phoneticPr fontId="5"/>
  </si>
  <si>
    <t>また、保険税額は、6月から翌年1月までの8期で納めていただきますので、</t>
    <phoneticPr fontId="5"/>
  </si>
  <si>
    <t>年度の途中で加入する場合は、加入する月から３月までの月数を乗じてください。</t>
    <rPh sb="0" eb="2">
      <t>ネンド</t>
    </rPh>
    <rPh sb="3" eb="5">
      <t>トチュウ</t>
    </rPh>
    <rPh sb="6" eb="8">
      <t>カニュウ</t>
    </rPh>
    <rPh sb="10" eb="12">
      <t>バアイ</t>
    </rPh>
    <rPh sb="14" eb="16">
      <t>カニュウ</t>
    </rPh>
    <rPh sb="18" eb="19">
      <t>ツキ</t>
    </rPh>
    <rPh sb="22" eb="23">
      <t>ガツ</t>
    </rPh>
    <rPh sb="26" eb="28">
      <t>ゲッスウ</t>
    </rPh>
    <rPh sb="29" eb="30">
      <t>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</si>
</sst>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0\ &quot;%&quot;"/>
    <numFmt numFmtId="178" formatCode="#,##0\ &quot;円&quot;"/>
    <numFmt numFmtId="179" formatCode="#,##0_);[Red]\(#,##0\)"/>
    <numFmt numFmtId="180" formatCode="0.0%"/>
    <numFmt numFmtId="181" formatCode="#,##0_ &quot;円＋10万円×（給与所得者等の数ー1）以下&quot;"/>
    <numFmt numFmtId="182" formatCode="&quot;430,000円+（&quot;#,##0_ &quot;円×被保険者数と特定同一世帯所属者数の合計）＋10万円×（給与所得者等の数ー1）以下&quot;"/>
    <numFmt numFmtId="183" formatCode="&quot;¥&quot;#,##0_);[Red]\(&quot;¥&quot;#,##0\)"/>
  </numFmts>
  <fonts count="31" x14ac:knownFonts="1">
    <font>
      <sz val="11"/>
      <color theme="1"/>
      <name val="ＭＳ Ｐゴシック"/>
      <family val="2"/>
      <charset val="128"/>
      <scheme val="minor"/>
    </font>
    <font>
      <sz val="6"/>
      <name val="ＭＳ Ｐゴシック"/>
      <family val="2"/>
      <charset val="128"/>
      <scheme val="minor"/>
    </font>
    <font>
      <sz val="12"/>
      <color theme="1"/>
      <name val="メイリオ"/>
      <family val="3"/>
      <charset val="128"/>
    </font>
    <font>
      <b/>
      <sz val="16"/>
      <color indexed="81"/>
      <name val="ＭＳ Ｐゴシック"/>
      <family val="3"/>
      <charset val="128"/>
    </font>
    <font>
      <sz val="11"/>
      <color theme="1"/>
      <name val="ＭＳ Ｐゴシック"/>
      <family val="3"/>
      <charset val="128"/>
      <scheme val="minor"/>
    </font>
    <font>
      <sz val="6"/>
      <name val="ＭＳ Ｐゴシック"/>
      <family val="3"/>
      <charset val="128"/>
    </font>
    <font>
      <sz val="11"/>
      <color theme="1"/>
      <name val="メイリオ"/>
      <family val="3"/>
      <charset val="128"/>
    </font>
    <font>
      <sz val="12"/>
      <color theme="1"/>
      <name val="HGS創英角ｺﾞｼｯｸUB"/>
      <family val="3"/>
      <charset val="128"/>
    </font>
    <font>
      <b/>
      <sz val="12"/>
      <color rgb="FFFF0000"/>
      <name val="メイリオ"/>
      <family val="3"/>
      <charset val="128"/>
    </font>
    <font>
      <b/>
      <sz val="12"/>
      <color indexed="8"/>
      <name val="HGS創英角ｺﾞｼｯｸUB"/>
      <family val="3"/>
      <charset val="128"/>
    </font>
    <font>
      <b/>
      <sz val="16"/>
      <color indexed="8"/>
      <name val="HGS創英角ｺﾞｼｯｸUB"/>
      <family val="3"/>
      <charset val="128"/>
    </font>
    <font>
      <sz val="12"/>
      <color indexed="8"/>
      <name val="HGS創英角ｺﾞｼｯｸUB"/>
      <family val="3"/>
      <charset val="128"/>
    </font>
    <font>
      <b/>
      <sz val="18"/>
      <color rgb="FFFF0000"/>
      <name val="メイリオ"/>
      <family val="3"/>
      <charset val="128"/>
    </font>
    <font>
      <sz val="12"/>
      <color rgb="FFFF0000"/>
      <name val="メイリオ"/>
      <family val="3"/>
      <charset val="128"/>
    </font>
    <font>
      <b/>
      <sz val="12"/>
      <color theme="1"/>
      <name val="メイリオ"/>
      <family val="3"/>
      <charset val="128"/>
    </font>
    <font>
      <b/>
      <sz val="14"/>
      <color theme="1"/>
      <name val="メイリオ"/>
      <family val="3"/>
      <charset val="128"/>
    </font>
    <font>
      <sz val="11"/>
      <color theme="1"/>
      <name val="ＭＳ Ｐゴシック"/>
      <family val="2"/>
      <charset val="128"/>
      <scheme val="minor"/>
    </font>
    <font>
      <sz val="14"/>
      <color theme="1"/>
      <name val="メイリオ"/>
      <family val="3"/>
      <charset val="128"/>
    </font>
    <font>
      <b/>
      <sz val="16"/>
      <color theme="1"/>
      <name val="メイリオ"/>
      <family val="3"/>
      <charset val="128"/>
    </font>
    <font>
      <sz val="16"/>
      <color theme="1"/>
      <name val="メイリオ"/>
      <family val="3"/>
      <charset val="128"/>
    </font>
    <font>
      <b/>
      <sz val="18"/>
      <color theme="1"/>
      <name val="メイリオ"/>
      <family val="3"/>
      <charset val="128"/>
    </font>
    <font>
      <b/>
      <sz val="20"/>
      <color theme="1"/>
      <name val="メイリオ"/>
      <family val="3"/>
      <charset val="128"/>
    </font>
    <font>
      <sz val="12"/>
      <color theme="0"/>
      <name val="メイリオ"/>
      <family val="3"/>
      <charset val="128"/>
    </font>
    <font>
      <sz val="12"/>
      <name val="メイリオ"/>
      <family val="3"/>
      <charset val="128"/>
    </font>
    <font>
      <b/>
      <sz val="12"/>
      <color theme="0"/>
      <name val="メイリオ"/>
      <family val="3"/>
      <charset val="128"/>
    </font>
    <font>
      <sz val="10"/>
      <color theme="1"/>
      <name val="メイリオ"/>
      <family val="3"/>
      <charset val="128"/>
    </font>
    <font>
      <sz val="9"/>
      <color indexed="81"/>
      <name val="メイリオ"/>
      <family val="3"/>
      <charset val="128"/>
    </font>
    <font>
      <b/>
      <u/>
      <sz val="9"/>
      <color indexed="81"/>
      <name val="メイリオ"/>
      <family val="3"/>
      <charset val="128"/>
    </font>
    <font>
      <b/>
      <u/>
      <sz val="16"/>
      <color theme="1"/>
      <name val="メイリオ"/>
      <family val="3"/>
      <charset val="128"/>
    </font>
    <font>
      <b/>
      <sz val="22"/>
      <color theme="1"/>
      <name val="メイリオ"/>
      <family val="3"/>
      <charset val="128"/>
    </font>
    <font>
      <sz val="11"/>
      <color theme="4" tint="0.79998168889431442"/>
      <name val="メイリオ"/>
      <family val="3"/>
      <charset val="128"/>
    </font>
  </fonts>
  <fills count="12">
    <fill>
      <patternFill patternType="none"/>
    </fill>
    <fill>
      <patternFill patternType="gray125"/>
    </fill>
    <fill>
      <patternFill patternType="solid">
        <fgColor rgb="FF92D050"/>
        <bgColor indexed="64"/>
      </patternFill>
    </fill>
    <fill>
      <patternFill patternType="solid">
        <fgColor rgb="FFFFFFCC"/>
        <bgColor indexed="64"/>
      </patternFill>
    </fill>
    <fill>
      <patternFill patternType="solid">
        <fgColor theme="7" tint="0.39997558519241921"/>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F0000"/>
        <bgColor indexed="64"/>
      </patternFill>
    </fill>
    <fill>
      <patternFill patternType="solid">
        <fgColor theme="7" tint="0.59999389629810485"/>
        <bgColor indexed="64"/>
      </patternFill>
    </fill>
    <fill>
      <patternFill patternType="solid">
        <fgColor rgb="FFE3FFC9"/>
        <bgColor indexed="64"/>
      </patternFill>
    </fill>
  </fills>
  <borders count="5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s>
  <cellStyleXfs count="5">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9" fontId="16" fillId="0" borderId="0" applyFont="0" applyFill="0" applyBorder="0" applyAlignment="0" applyProtection="0">
      <alignment vertical="center"/>
    </xf>
    <xf numFmtId="38" fontId="16" fillId="0" borderId="0" applyFont="0" applyFill="0" applyBorder="0" applyAlignment="0" applyProtection="0">
      <alignment vertical="center"/>
    </xf>
  </cellStyleXfs>
  <cellXfs count="238">
    <xf numFmtId="0" fontId="0" fillId="0" borderId="0" xfId="0">
      <alignment vertical="center"/>
    </xf>
    <xf numFmtId="176" fontId="2" fillId="3" borderId="1" xfId="0" applyNumberFormat="1" applyFont="1" applyFill="1" applyBorder="1" applyProtection="1">
      <alignment vertical="center"/>
      <protection locked="0"/>
    </xf>
    <xf numFmtId="176" fontId="2" fillId="5" borderId="8" xfId="0" applyNumberFormat="1" applyFont="1" applyFill="1" applyBorder="1" applyProtection="1">
      <alignment vertical="center"/>
    </xf>
    <xf numFmtId="176" fontId="2" fillId="5" borderId="7" xfId="0" applyNumberFormat="1" applyFont="1" applyFill="1" applyBorder="1" applyProtection="1">
      <alignment vertical="center"/>
    </xf>
    <xf numFmtId="176" fontId="2" fillId="5" borderId="12" xfId="0" applyNumberFormat="1" applyFont="1" applyFill="1" applyBorder="1" applyProtection="1">
      <alignment vertical="center"/>
    </xf>
    <xf numFmtId="0" fontId="2" fillId="5" borderId="0" xfId="0" applyFont="1" applyFill="1" applyProtection="1">
      <alignment vertical="center"/>
    </xf>
    <xf numFmtId="0" fontId="2" fillId="5" borderId="2" xfId="0" applyFont="1" applyFill="1" applyBorder="1" applyProtection="1">
      <alignment vertical="center"/>
    </xf>
    <xf numFmtId="0" fontId="2" fillId="5" borderId="0" xfId="0" applyFont="1" applyFill="1" applyBorder="1" applyAlignment="1" applyProtection="1">
      <alignment horizontal="center" vertical="center"/>
    </xf>
    <xf numFmtId="176" fontId="2" fillId="5" borderId="0" xfId="0" applyNumberFormat="1" applyFont="1" applyFill="1" applyBorder="1" applyProtection="1">
      <alignment vertical="center"/>
    </xf>
    <xf numFmtId="0" fontId="2" fillId="5" borderId="4" xfId="0" applyFont="1" applyFill="1" applyBorder="1" applyProtection="1">
      <alignment vertical="center"/>
    </xf>
    <xf numFmtId="0" fontId="2" fillId="5" borderId="15" xfId="0" applyFont="1" applyFill="1" applyBorder="1" applyAlignment="1" applyProtection="1">
      <alignment horizontal="right" vertical="center"/>
    </xf>
    <xf numFmtId="0" fontId="2" fillId="5" borderId="4" xfId="0" applyFont="1" applyFill="1" applyBorder="1" applyAlignment="1" applyProtection="1">
      <alignment horizontal="center" vertical="center"/>
    </xf>
    <xf numFmtId="176" fontId="2" fillId="5" borderId="4" xfId="0" applyNumberFormat="1" applyFont="1" applyFill="1" applyBorder="1" applyProtection="1">
      <alignment vertical="center"/>
    </xf>
    <xf numFmtId="0" fontId="2" fillId="5" borderId="0" xfId="0" applyFont="1" applyFill="1" applyBorder="1" applyProtection="1">
      <alignment vertical="center"/>
    </xf>
    <xf numFmtId="0" fontId="2" fillId="5" borderId="13" xfId="0" applyFont="1" applyFill="1" applyBorder="1" applyProtection="1">
      <alignment vertical="center"/>
    </xf>
    <xf numFmtId="0" fontId="2" fillId="5" borderId="13" xfId="0" applyFont="1" applyFill="1" applyBorder="1" applyAlignment="1" applyProtection="1">
      <alignment horizontal="center" vertical="center"/>
    </xf>
    <xf numFmtId="0" fontId="2" fillId="5" borderId="11" xfId="0" applyFont="1" applyFill="1" applyBorder="1" applyProtection="1">
      <alignment vertical="center"/>
    </xf>
    <xf numFmtId="0" fontId="2" fillId="5" borderId="11" xfId="0" applyFont="1" applyFill="1" applyBorder="1" applyAlignment="1" applyProtection="1">
      <alignment horizontal="right" vertical="center"/>
    </xf>
    <xf numFmtId="0" fontId="2" fillId="2" borderId="14" xfId="0" applyFont="1" applyFill="1" applyBorder="1" applyAlignment="1" applyProtection="1">
      <alignment horizontal="center" vertical="center"/>
    </xf>
    <xf numFmtId="0" fontId="2" fillId="6" borderId="0" xfId="0" applyFont="1" applyFill="1" applyProtection="1">
      <alignment vertical="center"/>
    </xf>
    <xf numFmtId="0" fontId="2" fillId="6" borderId="2" xfId="0" applyFont="1" applyFill="1" applyBorder="1" applyProtection="1">
      <alignment vertical="center"/>
    </xf>
    <xf numFmtId="176" fontId="2" fillId="6" borderId="7" xfId="0" applyNumberFormat="1" applyFont="1" applyFill="1" applyBorder="1" applyProtection="1">
      <alignment vertical="center"/>
    </xf>
    <xf numFmtId="0" fontId="2" fillId="6" borderId="0" xfId="0" applyFont="1" applyFill="1" applyBorder="1" applyAlignment="1" applyProtection="1">
      <alignment horizontal="center" vertical="center"/>
    </xf>
    <xf numFmtId="176" fontId="2" fillId="6" borderId="0" xfId="0" applyNumberFormat="1" applyFont="1" applyFill="1" applyBorder="1" applyProtection="1">
      <alignment vertical="center"/>
    </xf>
    <xf numFmtId="176" fontId="2" fillId="6" borderId="8" xfId="0" applyNumberFormat="1" applyFont="1" applyFill="1" applyBorder="1" applyProtection="1">
      <alignment vertical="center"/>
    </xf>
    <xf numFmtId="0" fontId="2" fillId="6" borderId="4" xfId="0" applyFont="1" applyFill="1" applyBorder="1" applyProtection="1">
      <alignment vertical="center"/>
    </xf>
    <xf numFmtId="0" fontId="2" fillId="6" borderId="4" xfId="0" applyFont="1" applyFill="1" applyBorder="1" applyAlignment="1" applyProtection="1">
      <alignment horizontal="center" vertical="center"/>
    </xf>
    <xf numFmtId="176" fontId="2" fillId="6" borderId="4" xfId="0" applyNumberFormat="1" applyFont="1" applyFill="1" applyBorder="1" applyProtection="1">
      <alignment vertical="center"/>
    </xf>
    <xf numFmtId="0" fontId="2" fillId="6" borderId="0" xfId="0" applyFont="1" applyFill="1" applyBorder="1" applyProtection="1">
      <alignment vertical="center"/>
    </xf>
    <xf numFmtId="176" fontId="2" fillId="6" borderId="12" xfId="0" applyNumberFormat="1" applyFont="1" applyFill="1" applyBorder="1" applyProtection="1">
      <alignment vertical="center"/>
    </xf>
    <xf numFmtId="0" fontId="2" fillId="6" borderId="13" xfId="0" applyFont="1" applyFill="1" applyBorder="1" applyProtection="1">
      <alignment vertical="center"/>
    </xf>
    <xf numFmtId="0" fontId="0" fillId="6" borderId="0" xfId="0" applyFill="1" applyProtection="1">
      <alignment vertical="center"/>
    </xf>
    <xf numFmtId="0" fontId="6" fillId="5" borderId="0" xfId="1" applyFont="1" applyFill="1">
      <alignment vertical="center"/>
    </xf>
    <xf numFmtId="0" fontId="7" fillId="5" borderId="0" xfId="1" applyFont="1" applyFill="1" applyAlignment="1">
      <alignment horizontal="right" vertical="center"/>
    </xf>
    <xf numFmtId="0" fontId="7" fillId="5" borderId="0" xfId="1" applyFont="1" applyFill="1">
      <alignment vertical="center"/>
    </xf>
    <xf numFmtId="0" fontId="2" fillId="5" borderId="0" xfId="1" applyFont="1" applyFill="1">
      <alignment vertical="center"/>
    </xf>
    <xf numFmtId="0" fontId="2" fillId="5" borderId="0" xfId="1" applyFont="1" applyFill="1" applyAlignment="1">
      <alignment horizontal="right" vertical="center"/>
    </xf>
    <xf numFmtId="0" fontId="2" fillId="5" borderId="17" xfId="1" applyFont="1" applyFill="1" applyBorder="1">
      <alignment vertical="center"/>
    </xf>
    <xf numFmtId="0" fontId="2" fillId="5" borderId="17" xfId="1" applyFont="1" applyFill="1" applyBorder="1" applyAlignment="1">
      <alignment horizontal="center" vertical="center"/>
    </xf>
    <xf numFmtId="0" fontId="6" fillId="5" borderId="17" xfId="1" applyFont="1" applyFill="1" applyBorder="1">
      <alignment vertical="center"/>
    </xf>
    <xf numFmtId="0" fontId="8" fillId="5" borderId="0" xfId="1" applyFont="1" applyFill="1">
      <alignment vertical="center"/>
    </xf>
    <xf numFmtId="38" fontId="6" fillId="5" borderId="17" xfId="2" applyFont="1" applyFill="1" applyBorder="1">
      <alignment vertical="center"/>
    </xf>
    <xf numFmtId="38" fontId="6" fillId="5" borderId="0" xfId="2" applyFont="1" applyFill="1">
      <alignment vertical="center"/>
    </xf>
    <xf numFmtId="0" fontId="2" fillId="5" borderId="0" xfId="1" applyFont="1" applyFill="1" applyBorder="1">
      <alignment vertical="center"/>
    </xf>
    <xf numFmtId="0" fontId="2" fillId="7" borderId="18" xfId="1" applyFont="1" applyFill="1" applyBorder="1">
      <alignment vertical="center"/>
    </xf>
    <xf numFmtId="0" fontId="12" fillId="7" borderId="19" xfId="1" applyFont="1" applyFill="1" applyBorder="1">
      <alignment vertical="center"/>
    </xf>
    <xf numFmtId="0" fontId="2" fillId="7" borderId="19" xfId="1" applyFont="1" applyFill="1" applyBorder="1">
      <alignment vertical="center"/>
    </xf>
    <xf numFmtId="0" fontId="6" fillId="7" borderId="19" xfId="1" applyFont="1" applyFill="1" applyBorder="1">
      <alignment vertical="center"/>
    </xf>
    <xf numFmtId="0" fontId="6" fillId="7" borderId="20" xfId="1" applyFont="1" applyFill="1" applyBorder="1">
      <alignment vertical="center"/>
    </xf>
    <xf numFmtId="0" fontId="2" fillId="7" borderId="7" xfId="1" applyFont="1" applyFill="1" applyBorder="1">
      <alignment vertical="center"/>
    </xf>
    <xf numFmtId="0" fontId="2" fillId="7" borderId="17" xfId="1" applyFont="1" applyFill="1" applyBorder="1">
      <alignment vertical="center"/>
    </xf>
    <xf numFmtId="38" fontId="2" fillId="7" borderId="17" xfId="1" applyNumberFormat="1" applyFont="1" applyFill="1" applyBorder="1">
      <alignment vertical="center"/>
    </xf>
    <xf numFmtId="0" fontId="2" fillId="7" borderId="0" xfId="1" applyFont="1" applyFill="1" applyBorder="1">
      <alignment vertical="center"/>
    </xf>
    <xf numFmtId="0" fontId="6" fillId="7" borderId="0" xfId="1" applyFont="1" applyFill="1" applyBorder="1">
      <alignment vertical="center"/>
    </xf>
    <xf numFmtId="0" fontId="6" fillId="7" borderId="21" xfId="1" applyFont="1" applyFill="1" applyBorder="1">
      <alignment vertical="center"/>
    </xf>
    <xf numFmtId="0" fontId="13" fillId="7" borderId="17" xfId="1" applyFont="1" applyFill="1" applyBorder="1" applyAlignment="1">
      <alignment horizontal="center" vertical="center"/>
    </xf>
    <xf numFmtId="0" fontId="13" fillId="7" borderId="0" xfId="1" applyFont="1" applyFill="1" applyBorder="1" applyAlignment="1">
      <alignment horizontal="center" vertical="center"/>
    </xf>
    <xf numFmtId="0" fontId="6" fillId="7" borderId="0" xfId="1" applyFont="1" applyFill="1" applyBorder="1" applyAlignment="1">
      <alignment vertical="top"/>
    </xf>
    <xf numFmtId="0" fontId="2" fillId="7" borderId="21" xfId="1" applyFont="1" applyFill="1" applyBorder="1">
      <alignment vertical="center"/>
    </xf>
    <xf numFmtId="0" fontId="6" fillId="5" borderId="0" xfId="1" applyFont="1" applyFill="1" applyBorder="1">
      <alignment vertical="center"/>
    </xf>
    <xf numFmtId="0" fontId="2" fillId="7" borderId="17" xfId="1" applyFont="1" applyFill="1" applyBorder="1" applyAlignment="1">
      <alignment horizontal="center" vertical="center"/>
    </xf>
    <xf numFmtId="0" fontId="14" fillId="7" borderId="7" xfId="1" applyFont="1" applyFill="1" applyBorder="1">
      <alignment vertical="center"/>
    </xf>
    <xf numFmtId="0" fontId="6" fillId="7" borderId="0" xfId="1" applyFont="1" applyFill="1" applyBorder="1" applyAlignment="1"/>
    <xf numFmtId="38" fontId="2" fillId="7" borderId="17" xfId="2" applyFont="1" applyFill="1" applyBorder="1">
      <alignment vertical="center"/>
    </xf>
    <xf numFmtId="0" fontId="2" fillId="7" borderId="17" xfId="1" applyFont="1" applyFill="1" applyBorder="1" applyAlignment="1">
      <alignment horizontal="left" vertical="center"/>
    </xf>
    <xf numFmtId="177" fontId="2" fillId="7" borderId="17" xfId="1" applyNumberFormat="1" applyFont="1" applyFill="1" applyBorder="1">
      <alignment vertical="center"/>
    </xf>
    <xf numFmtId="178" fontId="2" fillId="7" borderId="17" xfId="2" applyNumberFormat="1" applyFont="1" applyFill="1" applyBorder="1">
      <alignment vertical="center"/>
    </xf>
    <xf numFmtId="0" fontId="6" fillId="7" borderId="7" xfId="1" applyFont="1" applyFill="1" applyBorder="1">
      <alignment vertical="center"/>
    </xf>
    <xf numFmtId="0" fontId="6" fillId="7" borderId="9" xfId="1" applyFont="1" applyFill="1" applyBorder="1">
      <alignment vertical="center"/>
    </xf>
    <xf numFmtId="0" fontId="2" fillId="0" borderId="17" xfId="0" applyFont="1" applyFill="1" applyBorder="1" applyAlignment="1">
      <alignment horizontal="right" vertical="center"/>
    </xf>
    <xf numFmtId="0" fontId="2" fillId="0" borderId="17" xfId="1" applyFont="1" applyFill="1" applyBorder="1" applyAlignment="1">
      <alignment horizontal="center" vertical="center"/>
    </xf>
    <xf numFmtId="3" fontId="2" fillId="0" borderId="0" xfId="0" applyNumberFormat="1" applyFont="1">
      <alignment vertical="center"/>
    </xf>
    <xf numFmtId="0" fontId="2" fillId="0" borderId="0" xfId="0" applyFont="1">
      <alignment vertical="center"/>
    </xf>
    <xf numFmtId="0" fontId="2" fillId="0" borderId="17" xfId="0" applyFont="1" applyFill="1" applyBorder="1" applyAlignment="1">
      <alignment horizontal="center" vertical="center"/>
    </xf>
    <xf numFmtId="180" fontId="2" fillId="0" borderId="17" xfId="3" applyNumberFormat="1" applyFont="1" applyFill="1" applyBorder="1">
      <alignment vertical="center"/>
    </xf>
    <xf numFmtId="0" fontId="2" fillId="0" borderId="0" xfId="0" applyFont="1" applyAlignment="1">
      <alignment vertical="center"/>
    </xf>
    <xf numFmtId="0" fontId="2" fillId="0" borderId="0" xfId="0" applyFont="1" applyAlignment="1">
      <alignment horizontal="center" vertical="center"/>
    </xf>
    <xf numFmtId="178" fontId="2" fillId="0" borderId="17" xfId="2" applyNumberFormat="1" applyFont="1" applyFill="1" applyBorder="1">
      <alignment vertical="center"/>
    </xf>
    <xf numFmtId="178" fontId="2" fillId="0" borderId="17" xfId="2" applyNumberFormat="1" applyFont="1" applyFill="1" applyBorder="1" applyAlignment="1">
      <alignment vertical="center"/>
    </xf>
    <xf numFmtId="0" fontId="2" fillId="0" borderId="0" xfId="1" applyFont="1" applyFill="1" applyBorder="1" applyAlignment="1">
      <alignment horizontal="center" vertical="center"/>
    </xf>
    <xf numFmtId="178" fontId="2" fillId="0" borderId="0" xfId="2" applyNumberFormat="1" applyFont="1" applyFill="1" applyBorder="1" applyAlignment="1">
      <alignment vertical="center"/>
    </xf>
    <xf numFmtId="3" fontId="17" fillId="0" borderId="0" xfId="0" applyNumberFormat="1" applyFont="1" applyBorder="1" applyAlignment="1">
      <alignment vertical="center"/>
    </xf>
    <xf numFmtId="3" fontId="2" fillId="0" borderId="0" xfId="0" applyNumberFormat="1" applyFont="1" applyBorder="1" applyAlignment="1">
      <alignment vertical="center"/>
    </xf>
    <xf numFmtId="0" fontId="2" fillId="0" borderId="0" xfId="0" applyFont="1" applyAlignment="1">
      <alignment horizontal="right" vertical="center"/>
    </xf>
    <xf numFmtId="3" fontId="15" fillId="0" borderId="25" xfId="0" applyNumberFormat="1" applyFont="1" applyBorder="1" applyAlignment="1">
      <alignment vertical="center"/>
    </xf>
    <xf numFmtId="3" fontId="2" fillId="0" borderId="25" xfId="0" applyNumberFormat="1" applyFont="1" applyBorder="1" applyAlignment="1">
      <alignment vertical="center"/>
    </xf>
    <xf numFmtId="3" fontId="15" fillId="0" borderId="0" xfId="0" applyNumberFormat="1" applyFont="1">
      <alignment vertical="center"/>
    </xf>
    <xf numFmtId="0" fontId="2" fillId="0" borderId="0" xfId="0" applyFont="1" applyFill="1" applyBorder="1" applyAlignment="1">
      <alignment horizontal="center" vertical="center"/>
    </xf>
    <xf numFmtId="3" fontId="2" fillId="0" borderId="17" xfId="0" applyNumberFormat="1" applyFont="1" applyFill="1" applyBorder="1" applyAlignment="1">
      <alignment horizontal="center" vertical="center"/>
    </xf>
    <xf numFmtId="3" fontId="2" fillId="0" borderId="17" xfId="0" applyNumberFormat="1" applyFont="1" applyFill="1" applyBorder="1" applyAlignment="1">
      <alignment horizontal="center" vertical="center" wrapText="1"/>
    </xf>
    <xf numFmtId="3" fontId="2" fillId="8" borderId="17" xfId="0" applyNumberFormat="1" applyFont="1" applyFill="1" applyBorder="1">
      <alignment vertical="center"/>
    </xf>
    <xf numFmtId="0" fontId="2" fillId="8" borderId="17" xfId="0" applyFont="1" applyFill="1" applyBorder="1">
      <alignment vertical="center"/>
    </xf>
    <xf numFmtId="0" fontId="2" fillId="0" borderId="0" xfId="0" applyFont="1" applyFill="1" applyBorder="1" applyAlignment="1">
      <alignment horizontal="right" vertical="center"/>
    </xf>
    <xf numFmtId="3" fontId="2" fillId="0" borderId="17" xfId="0" applyNumberFormat="1" applyFont="1" applyBorder="1">
      <alignment vertical="center"/>
    </xf>
    <xf numFmtId="3" fontId="2" fillId="0" borderId="17" xfId="0" applyNumberFormat="1" applyFont="1" applyFill="1" applyBorder="1">
      <alignment vertical="center"/>
    </xf>
    <xf numFmtId="0" fontId="2" fillId="0" borderId="17" xfId="0" applyFont="1" applyFill="1" applyBorder="1">
      <alignment vertical="center"/>
    </xf>
    <xf numFmtId="3" fontId="2" fillId="0" borderId="0" xfId="0" applyNumberFormat="1" applyFont="1" applyFill="1">
      <alignment vertical="center"/>
    </xf>
    <xf numFmtId="0" fontId="2" fillId="0" borderId="0" xfId="0" applyFont="1" applyFill="1">
      <alignment vertical="center"/>
    </xf>
    <xf numFmtId="0" fontId="2" fillId="0" borderId="0" xfId="0" applyFont="1" applyFill="1" applyAlignment="1">
      <alignment horizontal="right" vertical="center"/>
    </xf>
    <xf numFmtId="3" fontId="15" fillId="0" borderId="0" xfId="0" applyNumberFormat="1" applyFont="1" applyFill="1">
      <alignment vertical="center"/>
    </xf>
    <xf numFmtId="3" fontId="2" fillId="8" borderId="17" xfId="0" applyNumberFormat="1" applyFont="1" applyFill="1" applyBorder="1" applyAlignment="1">
      <alignment vertical="center"/>
    </xf>
    <xf numFmtId="3" fontId="2" fillId="0" borderId="17" xfId="0" applyNumberFormat="1" applyFont="1" applyBorder="1" applyAlignment="1">
      <alignment vertical="center"/>
    </xf>
    <xf numFmtId="178" fontId="2" fillId="7" borderId="0" xfId="2" applyNumberFormat="1" applyFont="1" applyFill="1" applyBorder="1">
      <alignment vertical="center"/>
    </xf>
    <xf numFmtId="0" fontId="6" fillId="0" borderId="0" xfId="1" applyFont="1" applyFill="1" applyBorder="1">
      <alignment vertical="center"/>
    </xf>
    <xf numFmtId="0" fontId="19" fillId="0" borderId="0" xfId="1" applyFont="1" applyFill="1" applyBorder="1" applyAlignment="1">
      <alignment vertical="center"/>
    </xf>
    <xf numFmtId="0" fontId="18" fillId="0" borderId="0" xfId="1" applyFont="1" applyFill="1" applyBorder="1" applyAlignment="1">
      <alignment vertical="center"/>
    </xf>
    <xf numFmtId="0" fontId="19" fillId="0" borderId="0" xfId="1" applyFont="1" applyFill="1" applyBorder="1">
      <alignment vertical="center"/>
    </xf>
    <xf numFmtId="0" fontId="2" fillId="7" borderId="28" xfId="1" applyFont="1" applyFill="1" applyBorder="1">
      <alignment vertical="center"/>
    </xf>
    <xf numFmtId="38" fontId="2" fillId="7" borderId="28" xfId="2" applyFont="1" applyFill="1" applyBorder="1">
      <alignment vertical="center"/>
    </xf>
    <xf numFmtId="0" fontId="2" fillId="7" borderId="10" xfId="1" applyFont="1" applyFill="1" applyBorder="1">
      <alignment vertical="center"/>
    </xf>
    <xf numFmtId="178" fontId="2" fillId="7" borderId="28" xfId="2" applyNumberFormat="1" applyFont="1" applyFill="1" applyBorder="1" applyAlignment="1">
      <alignment vertical="center"/>
    </xf>
    <xf numFmtId="0" fontId="2" fillId="7" borderId="24" xfId="1" applyFont="1" applyFill="1" applyBorder="1">
      <alignment vertical="center"/>
    </xf>
    <xf numFmtId="0" fontId="6" fillId="0" borderId="19" xfId="1" applyFont="1" applyFill="1" applyBorder="1">
      <alignment vertical="center"/>
    </xf>
    <xf numFmtId="0" fontId="2" fillId="0" borderId="19" xfId="1" applyFont="1" applyFill="1" applyBorder="1">
      <alignment vertical="center"/>
    </xf>
    <xf numFmtId="0" fontId="20" fillId="0" borderId="2" xfId="1" applyFont="1" applyFill="1" applyBorder="1">
      <alignment vertical="center"/>
    </xf>
    <xf numFmtId="0" fontId="20" fillId="3" borderId="2" xfId="1" applyFont="1" applyFill="1" applyBorder="1">
      <alignment vertical="center"/>
    </xf>
    <xf numFmtId="0" fontId="20" fillId="0" borderId="3" xfId="1" applyFont="1" applyFill="1" applyBorder="1" applyAlignment="1">
      <alignment horizontal="center" vertical="center"/>
    </xf>
    <xf numFmtId="0" fontId="12" fillId="0" borderId="3" xfId="1" applyFont="1" applyFill="1" applyBorder="1" applyAlignment="1">
      <alignment horizontal="right" vertical="center"/>
    </xf>
    <xf numFmtId="0" fontId="20" fillId="0" borderId="3" xfId="1" applyFont="1" applyFill="1" applyBorder="1">
      <alignment vertical="center"/>
    </xf>
    <xf numFmtId="0" fontId="22" fillId="5" borderId="0" xfId="0" applyFont="1" applyFill="1" applyProtection="1">
      <alignment vertical="center"/>
    </xf>
    <xf numFmtId="38" fontId="2" fillId="5" borderId="12" xfId="4" applyFont="1" applyFill="1" applyBorder="1" applyProtection="1">
      <alignment vertical="center"/>
    </xf>
    <xf numFmtId="0" fontId="23" fillId="5" borderId="0" xfId="0" applyFont="1" applyFill="1" applyProtection="1">
      <alignment vertical="center"/>
    </xf>
    <xf numFmtId="0" fontId="2" fillId="4" borderId="44" xfId="0" applyFont="1" applyFill="1" applyBorder="1" applyAlignment="1" applyProtection="1">
      <alignment horizontal="center" vertical="center"/>
    </xf>
    <xf numFmtId="0" fontId="2" fillId="10" borderId="44" xfId="0" applyFont="1" applyFill="1" applyBorder="1" applyAlignment="1" applyProtection="1">
      <alignment horizontal="center" vertical="center"/>
    </xf>
    <xf numFmtId="176" fontId="2" fillId="6" borderId="41" xfId="0" applyNumberFormat="1" applyFont="1" applyFill="1" applyBorder="1" applyProtection="1">
      <alignment vertical="center"/>
    </xf>
    <xf numFmtId="0" fontId="2" fillId="6" borderId="23" xfId="0" applyFont="1" applyFill="1" applyBorder="1" applyProtection="1">
      <alignment vertical="center"/>
    </xf>
    <xf numFmtId="0" fontId="2" fillId="6" borderId="44" xfId="0" applyFont="1" applyFill="1" applyBorder="1" applyAlignment="1" applyProtection="1">
      <alignment horizontal="right" vertical="center"/>
    </xf>
    <xf numFmtId="176" fontId="2" fillId="6" borderId="21" xfId="0" applyNumberFormat="1" applyFont="1" applyFill="1" applyBorder="1" applyProtection="1">
      <alignment vertical="center"/>
    </xf>
    <xf numFmtId="176" fontId="2" fillId="6" borderId="45" xfId="0" applyNumberFormat="1" applyFont="1" applyFill="1" applyBorder="1" applyProtection="1">
      <alignment vertical="center"/>
    </xf>
    <xf numFmtId="0" fontId="2" fillId="6" borderId="46" xfId="0" applyFont="1" applyFill="1" applyBorder="1" applyProtection="1">
      <alignment vertical="center"/>
    </xf>
    <xf numFmtId="0" fontId="2" fillId="6" borderId="47" xfId="0" applyFont="1" applyFill="1" applyBorder="1" applyAlignment="1" applyProtection="1">
      <alignment horizontal="right" vertical="center"/>
    </xf>
    <xf numFmtId="0" fontId="2" fillId="6" borderId="13" xfId="0" applyFont="1" applyFill="1" applyBorder="1" applyAlignment="1" applyProtection="1">
      <alignment horizontal="center" vertical="center"/>
    </xf>
    <xf numFmtId="176" fontId="2" fillId="6" borderId="13" xfId="0" applyNumberFormat="1" applyFont="1" applyFill="1" applyBorder="1" applyProtection="1">
      <alignment vertical="center"/>
    </xf>
    <xf numFmtId="176" fontId="2" fillId="6" borderId="11" xfId="0" applyNumberFormat="1" applyFont="1" applyFill="1" applyBorder="1" applyProtection="1">
      <alignment vertical="center"/>
    </xf>
    <xf numFmtId="0" fontId="2" fillId="6" borderId="48" xfId="0" applyFont="1" applyFill="1" applyBorder="1" applyProtection="1">
      <alignment vertical="center"/>
    </xf>
    <xf numFmtId="0" fontId="2" fillId="6" borderId="49" xfId="0" applyFont="1" applyFill="1" applyBorder="1" applyAlignment="1" applyProtection="1">
      <alignment horizontal="right" vertical="center"/>
    </xf>
    <xf numFmtId="0" fontId="2" fillId="6" borderId="50" xfId="0" applyFont="1" applyFill="1" applyBorder="1" applyProtection="1">
      <alignment vertical="center"/>
    </xf>
    <xf numFmtId="0" fontId="2" fillId="6" borderId="11" xfId="0" applyFont="1" applyFill="1" applyBorder="1" applyProtection="1">
      <alignment vertical="center"/>
    </xf>
    <xf numFmtId="38" fontId="2" fillId="7" borderId="0" xfId="1" applyNumberFormat="1" applyFont="1" applyFill="1" applyBorder="1">
      <alignment vertical="center"/>
    </xf>
    <xf numFmtId="0" fontId="2" fillId="3" borderId="17" xfId="1" applyFont="1" applyFill="1" applyBorder="1" applyAlignment="1" applyProtection="1">
      <alignment horizontal="center" vertical="center"/>
      <protection locked="0"/>
    </xf>
    <xf numFmtId="0" fontId="2" fillId="3" borderId="17" xfId="1" applyFont="1" applyFill="1" applyBorder="1" applyProtection="1">
      <alignment vertical="center"/>
      <protection locked="0"/>
    </xf>
    <xf numFmtId="0" fontId="2" fillId="5" borderId="17" xfId="1" applyFont="1" applyFill="1" applyBorder="1" applyAlignment="1">
      <alignment horizontal="center" vertical="center"/>
    </xf>
    <xf numFmtId="38" fontId="6" fillId="5" borderId="17" xfId="2" applyFont="1" applyFill="1" applyBorder="1">
      <alignment vertical="center"/>
    </xf>
    <xf numFmtId="0" fontId="2" fillId="7" borderId="19" xfId="1" applyFont="1" applyFill="1" applyBorder="1">
      <alignment vertical="center"/>
    </xf>
    <xf numFmtId="0" fontId="2" fillId="7" borderId="17" xfId="1" applyFont="1" applyFill="1" applyBorder="1">
      <alignment vertical="center"/>
    </xf>
    <xf numFmtId="0" fontId="2" fillId="7" borderId="0" xfId="1" applyFont="1" applyFill="1" applyBorder="1">
      <alignment vertical="center"/>
    </xf>
    <xf numFmtId="38" fontId="2" fillId="5" borderId="17" xfId="1" applyNumberFormat="1" applyFont="1" applyFill="1" applyBorder="1">
      <alignment vertical="center"/>
    </xf>
    <xf numFmtId="0" fontId="11" fillId="7" borderId="0" xfId="1" applyFont="1" applyFill="1">
      <alignment vertical="center"/>
    </xf>
    <xf numFmtId="0" fontId="6" fillId="5" borderId="17" xfId="1" applyFont="1" applyFill="1" applyBorder="1" applyAlignment="1">
      <alignment horizontal="center" vertical="center"/>
    </xf>
    <xf numFmtId="38" fontId="6" fillId="5" borderId="17" xfId="4" applyFont="1" applyFill="1" applyBorder="1">
      <alignment vertical="center"/>
    </xf>
    <xf numFmtId="179" fontId="2" fillId="3" borderId="17" xfId="1" applyNumberFormat="1" applyFont="1" applyFill="1" applyBorder="1" applyProtection="1">
      <alignment vertical="center"/>
      <protection locked="0"/>
    </xf>
    <xf numFmtId="38" fontId="2" fillId="3" borderId="17" xfId="2" applyNumberFormat="1" applyFont="1" applyFill="1" applyBorder="1" applyProtection="1">
      <alignment vertical="center"/>
      <protection locked="0"/>
    </xf>
    <xf numFmtId="0" fontId="22" fillId="5" borderId="0" xfId="1" applyFont="1" applyFill="1" applyAlignment="1">
      <alignment horizontal="right" vertical="center"/>
    </xf>
    <xf numFmtId="38" fontId="2" fillId="5" borderId="37" xfId="4" applyFont="1" applyFill="1" applyBorder="1" applyAlignment="1" applyProtection="1">
      <alignment horizontal="center" vertical="center"/>
      <protection locked="0"/>
    </xf>
    <xf numFmtId="176" fontId="22" fillId="9" borderId="1" xfId="0" applyNumberFormat="1" applyFont="1" applyFill="1" applyBorder="1" applyProtection="1">
      <alignment vertical="center"/>
    </xf>
    <xf numFmtId="38" fontId="2" fillId="7" borderId="17" xfId="1" applyNumberFormat="1" applyFont="1" applyFill="1" applyBorder="1" applyProtection="1">
      <alignment vertical="center"/>
    </xf>
    <xf numFmtId="176" fontId="2" fillId="11" borderId="1" xfId="0" applyNumberFormat="1" applyFont="1" applyFill="1" applyBorder="1" applyProtection="1">
      <alignment vertical="center"/>
      <protection locked="0"/>
    </xf>
    <xf numFmtId="0" fontId="6" fillId="11" borderId="17" xfId="1" applyFont="1" applyFill="1" applyBorder="1" applyProtection="1">
      <alignment vertical="center"/>
      <protection locked="0"/>
    </xf>
    <xf numFmtId="0" fontId="24" fillId="9" borderId="3" xfId="0" applyNumberFormat="1" applyFont="1" applyFill="1" applyBorder="1" applyProtection="1">
      <alignment vertical="center"/>
    </xf>
    <xf numFmtId="183" fontId="2" fillId="3" borderId="17" xfId="2" applyNumberFormat="1" applyFont="1" applyFill="1" applyBorder="1" applyProtection="1">
      <alignment vertical="center"/>
      <protection locked="0"/>
    </xf>
    <xf numFmtId="0" fontId="2" fillId="11" borderId="17" xfId="1" applyFont="1" applyFill="1" applyBorder="1" applyAlignment="1" applyProtection="1">
      <alignment horizontal="center" vertical="center"/>
      <protection locked="0"/>
    </xf>
    <xf numFmtId="176" fontId="2" fillId="3" borderId="17" xfId="1" applyNumberFormat="1" applyFont="1" applyFill="1" applyBorder="1" applyProtection="1">
      <alignment vertical="center"/>
      <protection locked="0"/>
    </xf>
    <xf numFmtId="0" fontId="2" fillId="7" borderId="17" xfId="1" applyFont="1" applyFill="1" applyBorder="1" applyAlignment="1">
      <alignment horizontal="center" vertical="center"/>
    </xf>
    <xf numFmtId="0" fontId="2" fillId="0" borderId="0" xfId="1" applyFont="1" applyFill="1" applyBorder="1">
      <alignment vertical="center"/>
    </xf>
    <xf numFmtId="176" fontId="6" fillId="5" borderId="17" xfId="1" applyNumberFormat="1" applyFont="1" applyFill="1" applyBorder="1">
      <alignment vertical="center"/>
    </xf>
    <xf numFmtId="179" fontId="6" fillId="5" borderId="17" xfId="1" applyNumberFormat="1" applyFont="1" applyFill="1" applyBorder="1">
      <alignment vertical="center"/>
    </xf>
    <xf numFmtId="0" fontId="25" fillId="7" borderId="17" xfId="1" applyFont="1" applyFill="1" applyBorder="1">
      <alignment vertical="center"/>
    </xf>
    <xf numFmtId="38" fontId="2" fillId="7" borderId="0" xfId="1" applyNumberFormat="1" applyFont="1" applyFill="1" applyBorder="1" applyProtection="1">
      <alignment vertical="center"/>
    </xf>
    <xf numFmtId="0" fontId="28" fillId="5" borderId="0" xfId="1" applyFont="1" applyFill="1">
      <alignment vertical="center"/>
    </xf>
    <xf numFmtId="0" fontId="21" fillId="0" borderId="0" xfId="1" applyFont="1" applyFill="1" applyBorder="1" applyAlignment="1">
      <alignment horizontal="center" vertical="center"/>
    </xf>
    <xf numFmtId="0" fontId="12" fillId="0" borderId="0" xfId="1" applyFont="1" applyFill="1" applyBorder="1" applyAlignment="1">
      <alignment horizontal="right" vertical="center"/>
    </xf>
    <xf numFmtId="0" fontId="20" fillId="0" borderId="0" xfId="1" applyFont="1" applyFill="1" applyBorder="1">
      <alignment vertical="center"/>
    </xf>
    <xf numFmtId="0" fontId="19" fillId="0" borderId="0" xfId="1" applyFont="1" applyFill="1" applyBorder="1" applyAlignment="1">
      <alignment horizontal="left" vertical="center"/>
    </xf>
    <xf numFmtId="0" fontId="30" fillId="7" borderId="0" xfId="1" applyFont="1" applyFill="1" applyBorder="1">
      <alignment vertical="center"/>
    </xf>
    <xf numFmtId="0" fontId="29" fillId="5" borderId="0" xfId="1" applyFont="1" applyFill="1" applyAlignment="1">
      <alignment horizontal="left" vertical="center"/>
    </xf>
    <xf numFmtId="0" fontId="21" fillId="0" borderId="1" xfId="1" applyFont="1" applyFill="1" applyBorder="1" applyAlignment="1">
      <alignment horizontal="center" vertical="center"/>
    </xf>
    <xf numFmtId="0" fontId="21" fillId="0" borderId="3" xfId="1" applyFont="1" applyFill="1" applyBorder="1" applyAlignment="1">
      <alignment horizontal="center" vertical="center"/>
    </xf>
    <xf numFmtId="0" fontId="12" fillId="3" borderId="3" xfId="1" applyFont="1" applyFill="1" applyBorder="1" applyAlignment="1">
      <alignment horizontal="right" vertical="center"/>
    </xf>
    <xf numFmtId="0" fontId="12" fillId="0" borderId="3" xfId="1" applyFont="1" applyFill="1" applyBorder="1" applyAlignment="1">
      <alignment horizontal="right" vertical="center"/>
    </xf>
    <xf numFmtId="0" fontId="21" fillId="3" borderId="1" xfId="1" applyFont="1" applyFill="1" applyBorder="1" applyAlignment="1">
      <alignment horizontal="center" vertical="center"/>
    </xf>
    <xf numFmtId="0" fontId="21" fillId="3" borderId="3" xfId="1" applyFont="1" applyFill="1" applyBorder="1" applyAlignment="1">
      <alignment horizontal="center" vertical="center"/>
    </xf>
    <xf numFmtId="181" fontId="2" fillId="7" borderId="17" xfId="1" applyNumberFormat="1" applyFont="1" applyFill="1" applyBorder="1" applyAlignment="1">
      <alignment horizontal="left" vertical="center"/>
    </xf>
    <xf numFmtId="182" fontId="2" fillId="7" borderId="17" xfId="1" applyNumberFormat="1" applyFont="1" applyFill="1" applyBorder="1" applyAlignment="1">
      <alignment horizontal="left" vertical="center"/>
    </xf>
    <xf numFmtId="0" fontId="2" fillId="7" borderId="17" xfId="1" applyFont="1" applyFill="1" applyBorder="1" applyAlignment="1">
      <alignment horizontal="center" vertical="center"/>
    </xf>
    <xf numFmtId="0" fontId="2" fillId="5" borderId="14" xfId="0" applyFont="1" applyFill="1" applyBorder="1" applyAlignment="1" applyProtection="1">
      <alignment horizontal="center" vertical="center"/>
    </xf>
    <xf numFmtId="0" fontId="2" fillId="5" borderId="15" xfId="0" applyFont="1" applyFill="1" applyBorder="1" applyAlignment="1" applyProtection="1">
      <alignment horizontal="center" vertical="center"/>
    </xf>
    <xf numFmtId="0" fontId="2" fillId="5" borderId="16" xfId="0" applyFont="1" applyFill="1" applyBorder="1" applyAlignment="1" applyProtection="1">
      <alignment horizontal="center" vertical="center"/>
    </xf>
    <xf numFmtId="38" fontId="2" fillId="5" borderId="35" xfId="4" applyFont="1" applyFill="1" applyBorder="1" applyAlignment="1" applyProtection="1">
      <alignment horizontal="center" vertical="center"/>
      <protection locked="0"/>
    </xf>
    <xf numFmtId="38" fontId="2" fillId="5" borderId="10" xfId="4" applyFont="1" applyFill="1" applyBorder="1" applyAlignment="1" applyProtection="1">
      <alignment horizontal="center" vertical="center"/>
      <protection locked="0"/>
    </xf>
    <xf numFmtId="0" fontId="2" fillId="5" borderId="31" xfId="0" applyFont="1" applyFill="1" applyBorder="1" applyAlignment="1" applyProtection="1">
      <alignment horizontal="center" vertical="center" shrinkToFit="1"/>
    </xf>
    <xf numFmtId="0" fontId="2" fillId="5" borderId="17" xfId="0" applyFont="1" applyFill="1" applyBorder="1" applyAlignment="1" applyProtection="1">
      <alignment horizontal="center" vertical="center" shrinkToFit="1"/>
    </xf>
    <xf numFmtId="0" fontId="2" fillId="5" borderId="32" xfId="0" applyFont="1" applyFill="1" applyBorder="1" applyAlignment="1" applyProtection="1">
      <alignment horizontal="center" vertical="center"/>
    </xf>
    <xf numFmtId="0" fontId="2" fillId="5" borderId="36" xfId="0" applyFont="1" applyFill="1" applyBorder="1" applyAlignment="1" applyProtection="1">
      <alignment horizontal="center" vertical="center"/>
    </xf>
    <xf numFmtId="0" fontId="2" fillId="5" borderId="30" xfId="0" applyFont="1" applyFill="1" applyBorder="1" applyAlignment="1" applyProtection="1">
      <alignment horizontal="center" vertical="center"/>
      <protection locked="0"/>
    </xf>
    <xf numFmtId="0" fontId="2" fillId="5" borderId="38" xfId="0" applyFont="1" applyFill="1" applyBorder="1" applyAlignment="1" applyProtection="1">
      <alignment horizontal="center" vertical="center"/>
      <protection locked="0"/>
    </xf>
    <xf numFmtId="0" fontId="2" fillId="5" borderId="17" xfId="0" applyFont="1" applyFill="1" applyBorder="1" applyAlignment="1" applyProtection="1">
      <alignment horizontal="center" vertical="center"/>
      <protection locked="0"/>
    </xf>
    <xf numFmtId="0" fontId="2" fillId="5" borderId="22" xfId="0" applyFont="1" applyFill="1" applyBorder="1" applyAlignment="1" applyProtection="1">
      <alignment horizontal="center" vertical="center"/>
      <protection locked="0"/>
    </xf>
    <xf numFmtId="0" fontId="2" fillId="5" borderId="36" xfId="0" applyFont="1" applyFill="1" applyBorder="1" applyAlignment="1" applyProtection="1">
      <alignment horizontal="center" vertical="center"/>
      <protection locked="0"/>
    </xf>
    <xf numFmtId="0" fontId="2" fillId="5" borderId="39" xfId="0" applyFont="1" applyFill="1" applyBorder="1" applyAlignment="1" applyProtection="1">
      <alignment horizontal="center" vertical="center"/>
      <protection locked="0"/>
    </xf>
    <xf numFmtId="0" fontId="2" fillId="5" borderId="1" xfId="0" applyFont="1" applyFill="1" applyBorder="1" applyAlignment="1" applyProtection="1">
      <alignment horizontal="center" vertical="center"/>
    </xf>
    <xf numFmtId="0" fontId="2" fillId="5" borderId="3" xfId="0" applyFont="1" applyFill="1" applyBorder="1" applyAlignment="1" applyProtection="1">
      <alignment horizontal="center" vertical="center"/>
    </xf>
    <xf numFmtId="0" fontId="2" fillId="5" borderId="2"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5" borderId="29" xfId="0" applyFont="1" applyFill="1" applyBorder="1" applyAlignment="1" applyProtection="1">
      <alignment horizontal="center" vertical="center"/>
    </xf>
    <xf numFmtId="0" fontId="2" fillId="5" borderId="30" xfId="0" applyFont="1" applyFill="1" applyBorder="1" applyAlignment="1" applyProtection="1">
      <alignment horizontal="center" vertical="center"/>
    </xf>
    <xf numFmtId="0" fontId="2" fillId="5" borderId="31" xfId="0" applyFont="1" applyFill="1" applyBorder="1" applyAlignment="1" applyProtection="1">
      <alignment horizontal="center" vertical="center"/>
    </xf>
    <xf numFmtId="0" fontId="2" fillId="5" borderId="17" xfId="0" applyFont="1" applyFill="1" applyBorder="1" applyAlignment="1" applyProtection="1">
      <alignment horizontal="center" vertical="center"/>
    </xf>
    <xf numFmtId="0" fontId="2" fillId="5" borderId="33" xfId="0" applyFont="1" applyFill="1" applyBorder="1" applyAlignment="1" applyProtection="1">
      <alignment horizontal="center" vertical="center"/>
    </xf>
    <xf numFmtId="0" fontId="2" fillId="5" borderId="34" xfId="0" applyFont="1" applyFill="1" applyBorder="1" applyAlignment="1" applyProtection="1">
      <alignment horizontal="center" vertical="center"/>
    </xf>
    <xf numFmtId="0" fontId="2" fillId="4" borderId="18" xfId="0" applyFont="1" applyFill="1" applyBorder="1" applyAlignment="1" applyProtection="1">
      <alignment horizontal="center" vertical="center"/>
    </xf>
    <xf numFmtId="0" fontId="2" fillId="4" borderId="19" xfId="0" applyFont="1" applyFill="1" applyBorder="1" applyAlignment="1" applyProtection="1">
      <alignment horizontal="center" vertical="center"/>
    </xf>
    <xf numFmtId="0" fontId="2" fillId="4" borderId="20" xfId="0" applyFont="1" applyFill="1" applyBorder="1" applyAlignment="1" applyProtection="1">
      <alignment horizontal="center" vertical="center"/>
    </xf>
    <xf numFmtId="0" fontId="2" fillId="4" borderId="42" xfId="0" applyFont="1" applyFill="1" applyBorder="1" applyAlignment="1" applyProtection="1">
      <alignment horizontal="center" vertical="center"/>
    </xf>
    <xf numFmtId="0" fontId="2" fillId="4" borderId="25" xfId="0" applyFont="1" applyFill="1" applyBorder="1" applyAlignment="1" applyProtection="1">
      <alignment horizontal="center" vertical="center"/>
    </xf>
    <xf numFmtId="0" fontId="2" fillId="4" borderId="43" xfId="0" applyFont="1" applyFill="1" applyBorder="1" applyAlignment="1" applyProtection="1">
      <alignment horizontal="center" vertical="center"/>
    </xf>
    <xf numFmtId="0" fontId="2" fillId="4" borderId="5" xfId="0" applyFont="1" applyFill="1" applyBorder="1" applyAlignment="1" applyProtection="1">
      <alignment horizontal="center" vertical="center"/>
    </xf>
    <xf numFmtId="0" fontId="2" fillId="4" borderId="6" xfId="0" applyFont="1" applyFill="1" applyBorder="1" applyAlignment="1" applyProtection="1">
      <alignment horizontal="center" vertical="center"/>
    </xf>
    <xf numFmtId="0" fontId="2" fillId="4" borderId="40" xfId="0" applyFont="1" applyFill="1" applyBorder="1" applyAlignment="1" applyProtection="1">
      <alignment horizontal="center" vertical="center"/>
    </xf>
    <xf numFmtId="0" fontId="2" fillId="10" borderId="5" xfId="0" applyFont="1" applyFill="1" applyBorder="1" applyAlignment="1" applyProtection="1">
      <alignment horizontal="center" vertical="center"/>
    </xf>
    <xf numFmtId="0" fontId="2" fillId="10" borderId="6" xfId="0" applyFont="1" applyFill="1" applyBorder="1" applyAlignment="1" applyProtection="1">
      <alignment horizontal="center" vertical="center"/>
    </xf>
    <xf numFmtId="0" fontId="2" fillId="10" borderId="40" xfId="0" applyFont="1" applyFill="1" applyBorder="1" applyAlignment="1" applyProtection="1">
      <alignment horizontal="center" vertical="center"/>
    </xf>
    <xf numFmtId="0" fontId="2" fillId="4" borderId="31" xfId="0" applyFont="1" applyFill="1" applyBorder="1" applyAlignment="1" applyProtection="1">
      <alignment horizontal="center" vertical="center"/>
    </xf>
    <xf numFmtId="0" fontId="2" fillId="4" borderId="17" xfId="0" applyFont="1" applyFill="1" applyBorder="1" applyAlignment="1" applyProtection="1">
      <alignment horizontal="center" vertical="center"/>
    </xf>
    <xf numFmtId="0" fontId="2" fillId="10" borderId="31" xfId="0" applyFont="1" applyFill="1" applyBorder="1" applyAlignment="1" applyProtection="1">
      <alignment horizontal="center" vertical="center"/>
    </xf>
    <xf numFmtId="0" fontId="2" fillId="10" borderId="17" xfId="0" applyFont="1" applyFill="1" applyBorder="1" applyAlignment="1" applyProtection="1">
      <alignment horizontal="center" vertical="center"/>
    </xf>
    <xf numFmtId="0" fontId="2" fillId="4" borderId="1" xfId="0" applyFont="1" applyFill="1" applyBorder="1" applyAlignment="1" applyProtection="1">
      <alignment horizontal="center" vertical="center"/>
    </xf>
    <xf numFmtId="0" fontId="2" fillId="4" borderId="3" xfId="0" applyFont="1" applyFill="1" applyBorder="1" applyAlignment="1" applyProtection="1">
      <alignment horizontal="center" vertical="center"/>
    </xf>
    <xf numFmtId="0" fontId="2" fillId="4" borderId="2" xfId="0" applyFont="1" applyFill="1" applyBorder="1" applyAlignment="1" applyProtection="1">
      <alignment horizontal="center" vertical="center"/>
    </xf>
    <xf numFmtId="0" fontId="2" fillId="0" borderId="26" xfId="0" applyFont="1" applyFill="1" applyBorder="1" applyAlignment="1">
      <alignment horizontal="center" vertical="center"/>
    </xf>
    <xf numFmtId="0" fontId="2" fillId="0" borderId="27" xfId="0" applyFont="1" applyFill="1" applyBorder="1" applyAlignment="1">
      <alignment horizontal="center" vertical="center"/>
    </xf>
    <xf numFmtId="3" fontId="2" fillId="0" borderId="17" xfId="0" applyNumberFormat="1" applyFont="1" applyFill="1" applyBorder="1" applyAlignment="1">
      <alignment horizontal="center" vertical="center"/>
    </xf>
    <xf numFmtId="0" fontId="2" fillId="0" borderId="0" xfId="0" applyFont="1" applyAlignment="1">
      <alignment horizontal="center" vertical="center"/>
    </xf>
    <xf numFmtId="3" fontId="2" fillId="0" borderId="17" xfId="0" applyNumberFormat="1" applyFont="1" applyBorder="1" applyAlignment="1">
      <alignment horizontal="center" vertical="center"/>
    </xf>
    <xf numFmtId="0" fontId="2" fillId="0" borderId="17" xfId="0" applyFont="1" applyFill="1" applyBorder="1" applyAlignment="1">
      <alignment horizontal="center" vertical="center"/>
    </xf>
  </cellXfs>
  <cellStyles count="5">
    <cellStyle name="パーセント" xfId="3" builtinId="5"/>
    <cellStyle name="桁区切り" xfId="4" builtinId="6"/>
    <cellStyle name="桁区切り 2" xfId="2" xr:uid="{00000000-0005-0000-0000-000002000000}"/>
    <cellStyle name="標準" xfId="0" builtinId="0"/>
    <cellStyle name="標準 2" xfId="1" xr:uid="{00000000-0005-0000-0000-000004000000}"/>
  </cellStyles>
  <dxfs count="2">
    <dxf>
      <fill>
        <patternFill>
          <bgColor rgb="FFFFFF00"/>
        </patternFill>
      </fill>
    </dxf>
    <dxf>
      <fill>
        <patternFill patternType="none">
          <bgColor auto="1"/>
        </patternFill>
      </fill>
    </dxf>
  </dxfs>
  <tableStyles count="0" defaultTableStyle="TableStyleMedium2" defaultPivotStyle="PivotStyleLight16"/>
  <colors>
    <mruColors>
      <color rgb="FFE3FFC9"/>
      <color rgb="FFFFFFCC"/>
      <color rgb="FFD1FF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228599</xdr:colOff>
      <xdr:row>38</xdr:row>
      <xdr:rowOff>161925</xdr:rowOff>
    </xdr:from>
    <xdr:to>
      <xdr:col>5</xdr:col>
      <xdr:colOff>771524</xdr:colOff>
      <xdr:row>39</xdr:row>
      <xdr:rowOff>104775</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flipH="1">
          <a:off x="5857874" y="10439400"/>
          <a:ext cx="542925" cy="2286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3</xdr:col>
      <xdr:colOff>323850</xdr:colOff>
      <xdr:row>21</xdr:row>
      <xdr:rowOff>142875</xdr:rowOff>
    </xdr:from>
    <xdr:to>
      <xdr:col>3</xdr:col>
      <xdr:colOff>866775</xdr:colOff>
      <xdr:row>23</xdr:row>
      <xdr:rowOff>161925</xdr:rowOff>
    </xdr:to>
    <xdr:sp macro="" textlink="">
      <xdr:nvSpPr>
        <xdr:cNvPr id="3" name="曲折矢印 2">
          <a:extLst>
            <a:ext uri="{FF2B5EF4-FFF2-40B4-BE49-F238E27FC236}">
              <a16:creationId xmlns:a16="http://schemas.microsoft.com/office/drawing/2014/main" id="{00000000-0008-0000-0000-000003000000}"/>
            </a:ext>
          </a:extLst>
        </xdr:cNvPr>
        <xdr:cNvSpPr/>
      </xdr:nvSpPr>
      <xdr:spPr>
        <a:xfrm>
          <a:off x="3286125" y="5562600"/>
          <a:ext cx="542925" cy="590550"/>
        </a:xfrm>
        <a:prstGeom prst="bentArrow">
          <a:avLst/>
        </a:prstGeom>
        <a:solidFill>
          <a:schemeClr val="tx1"/>
        </a:solidFill>
        <a:ln>
          <a:solidFill>
            <a:schemeClr val="tx1"/>
          </a:solidFill>
        </a:ln>
        <a:scene3d>
          <a:camera prst="orthographicFront">
            <a:rot lat="0" lon="1080000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476250</xdr:colOff>
      <xdr:row>0</xdr:row>
      <xdr:rowOff>134180</xdr:rowOff>
    </xdr:from>
    <xdr:to>
      <xdr:col>12</xdr:col>
      <xdr:colOff>604154</xdr:colOff>
      <xdr:row>7</xdr:row>
      <xdr:rowOff>46268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5129893" y="134180"/>
          <a:ext cx="8115297" cy="2306945"/>
          <a:chOff x="4572001" y="326572"/>
          <a:chExt cx="7859610" cy="1879135"/>
        </a:xfrm>
      </xdr:grpSpPr>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5728605" y="337410"/>
            <a:ext cx="1809751" cy="1864178"/>
          </a:xfrm>
          <a:prstGeom prst="round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solidFill>
                  <a:schemeClr val="tx1"/>
                </a:solidFill>
                <a:latin typeface="03スマートフォントUI" panose="02000600000000000000" pitchFamily="50" charset="-128"/>
                <a:ea typeface="03スマートフォントUI" panose="02000600000000000000" pitchFamily="50" charset="-128"/>
              </a:rPr>
              <a:t>【</a:t>
            </a:r>
            <a:r>
              <a:rPr kumimoji="1" lang="ja-JP" altLang="en-US" sz="2000">
                <a:solidFill>
                  <a:schemeClr val="tx1"/>
                </a:solidFill>
                <a:latin typeface="03スマートフォントUI" panose="02000600000000000000" pitchFamily="50" charset="-128"/>
                <a:ea typeface="03スマートフォントUI" panose="02000600000000000000" pitchFamily="50" charset="-128"/>
              </a:rPr>
              <a:t>医療分</a:t>
            </a:r>
            <a:r>
              <a:rPr kumimoji="1" lang="en-US" altLang="ja-JP" sz="2000">
                <a:solidFill>
                  <a:schemeClr val="tx1"/>
                </a:solidFill>
                <a:latin typeface="03スマートフォントUI" panose="02000600000000000000" pitchFamily="50" charset="-128"/>
                <a:ea typeface="03スマートフォントUI" panose="02000600000000000000" pitchFamily="50" charset="-128"/>
              </a:rPr>
              <a:t>】</a:t>
            </a:r>
          </a:p>
          <a:p>
            <a:pPr algn="ctr"/>
            <a:r>
              <a:rPr lang="ja-JP" altLang="en-US"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①所得割</a:t>
            </a:r>
            <a:endParaRPr lang="en-US" altLang="ja-JP"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r>
              <a:rPr lang="ja-JP" altLang="en-US"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②均等割</a:t>
            </a:r>
            <a:endParaRPr lang="en-US" altLang="ja-JP"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r>
              <a:rPr lang="ja-JP" altLang="en-US"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③平等割</a:t>
            </a:r>
            <a:endParaRPr lang="en-US" altLang="ja-JP"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endParaRPr lang="en-US" altLang="ja-JP"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r>
              <a:rPr lang="ja-JP" altLang="en-US"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限度額</a:t>
            </a:r>
            <a:r>
              <a:rPr lang="en-US" altLang="ja-JP"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640,000</a:t>
            </a:r>
            <a:r>
              <a:rPr lang="ja-JP" altLang="en-US"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円</a:t>
            </a:r>
            <a:endParaRPr kumimoji="1" lang="ja-JP" altLang="en-US" sz="1400">
              <a:solidFill>
                <a:schemeClr val="tx1"/>
              </a:solidFill>
              <a:latin typeface="03スマートフォントUI" panose="02000600000000000000" pitchFamily="50" charset="-128"/>
              <a:ea typeface="03スマートフォントUI" panose="02000600000000000000" pitchFamily="50" charset="-128"/>
            </a:endParaRPr>
          </a:p>
        </xdr:txBody>
      </xdr:sp>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8017325" y="334713"/>
            <a:ext cx="2188101" cy="1864178"/>
          </a:xfrm>
          <a:prstGeom prst="roundRect">
            <a:avLst/>
          </a:prstGeom>
          <a:solidFill>
            <a:srgbClr val="EEC6F6"/>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chemeClr val="tx1"/>
                </a:solidFill>
                <a:latin typeface="03スマートフォントUI" panose="02000600000000000000" pitchFamily="50" charset="-128"/>
                <a:ea typeface="03スマートフォントUI" panose="02000600000000000000" pitchFamily="50" charset="-128"/>
              </a:rPr>
              <a:t>【</a:t>
            </a:r>
            <a:r>
              <a:rPr kumimoji="1" lang="ja-JP" altLang="en-US" sz="2000">
                <a:solidFill>
                  <a:schemeClr val="tx1"/>
                </a:solidFill>
                <a:latin typeface="03スマートフォントUI" panose="02000600000000000000" pitchFamily="50" charset="-128"/>
                <a:ea typeface="03スマートフォントUI" panose="02000600000000000000" pitchFamily="50" charset="-128"/>
              </a:rPr>
              <a:t>支援金分</a:t>
            </a:r>
            <a:r>
              <a:rPr kumimoji="1" lang="en-US" altLang="ja-JP" sz="2000">
                <a:solidFill>
                  <a:schemeClr val="tx1"/>
                </a:solidFill>
                <a:latin typeface="03スマートフォントUI" panose="02000600000000000000" pitchFamily="50" charset="-128"/>
                <a:ea typeface="03スマートフォントUI" panose="02000600000000000000" pitchFamily="50" charset="-128"/>
              </a:rPr>
              <a:t>】</a:t>
            </a:r>
          </a:p>
          <a:p>
            <a:pPr algn="ctr"/>
            <a:r>
              <a:rPr lang="ja-JP" altLang="en-US"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①所得割</a:t>
            </a:r>
            <a:endParaRPr lang="en-US" altLang="ja-JP"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r>
              <a:rPr lang="ja-JP" altLang="en-US"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②均等割</a:t>
            </a:r>
            <a:endParaRPr lang="en-US" altLang="ja-JP"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r>
              <a:rPr lang="ja-JP" altLang="en-US"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③平等割</a:t>
            </a:r>
            <a:endParaRPr lang="en-US" altLang="ja-JP"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endParaRPr lang="en-US" altLang="ja-JP"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r>
              <a:rPr lang="ja-JP" altLang="en-US"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限度額</a:t>
            </a:r>
            <a:r>
              <a:rPr lang="en-US" altLang="ja-JP"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190,000</a:t>
            </a:r>
            <a:r>
              <a:rPr lang="ja-JP" altLang="en-US"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円</a:t>
            </a:r>
            <a:endParaRPr kumimoji="1" lang="ja-JP" altLang="en-US" sz="1400">
              <a:solidFill>
                <a:schemeClr val="tx1"/>
              </a:solidFill>
              <a:latin typeface="03スマートフォントUI" panose="02000600000000000000" pitchFamily="50" charset="-128"/>
              <a:ea typeface="03スマートフォントUI" panose="02000600000000000000" pitchFamily="50" charset="-128"/>
            </a:endParaRPr>
          </a:p>
        </xdr:txBody>
      </xdr:sp>
      <xdr:sp macro="" textlink="">
        <xdr:nvSpPr>
          <xdr:cNvPr id="5" name="角丸四角形 4">
            <a:extLst>
              <a:ext uri="{FF2B5EF4-FFF2-40B4-BE49-F238E27FC236}">
                <a16:creationId xmlns:a16="http://schemas.microsoft.com/office/drawing/2014/main" id="{00000000-0008-0000-0300-000005000000}"/>
              </a:ext>
            </a:extLst>
          </xdr:cNvPr>
          <xdr:cNvSpPr/>
        </xdr:nvSpPr>
        <xdr:spPr>
          <a:xfrm>
            <a:off x="10621860" y="341529"/>
            <a:ext cx="1809751" cy="1864178"/>
          </a:xfrm>
          <a:prstGeom prst="roundRect">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chemeClr val="tx1"/>
                </a:solidFill>
                <a:latin typeface="03スマートフォントUI" panose="02000600000000000000" pitchFamily="50" charset="-128"/>
                <a:ea typeface="03スマートフォントUI" panose="02000600000000000000" pitchFamily="50" charset="-128"/>
              </a:rPr>
              <a:t>【</a:t>
            </a:r>
            <a:r>
              <a:rPr kumimoji="1" lang="ja-JP" altLang="en-US" sz="2000">
                <a:solidFill>
                  <a:schemeClr val="tx1"/>
                </a:solidFill>
                <a:latin typeface="03スマートフォントUI" panose="02000600000000000000" pitchFamily="50" charset="-128"/>
                <a:ea typeface="03スマートフォントUI" panose="02000600000000000000" pitchFamily="50" charset="-128"/>
              </a:rPr>
              <a:t>介護分</a:t>
            </a:r>
            <a:r>
              <a:rPr kumimoji="1" lang="en-US" altLang="ja-JP" sz="2000">
                <a:solidFill>
                  <a:schemeClr val="tx1"/>
                </a:solidFill>
                <a:latin typeface="03スマートフォントUI" panose="02000600000000000000" pitchFamily="50" charset="-128"/>
                <a:ea typeface="03スマートフォントUI" panose="02000600000000000000" pitchFamily="50" charset="-128"/>
              </a:rPr>
              <a:t>】</a:t>
            </a:r>
          </a:p>
          <a:p>
            <a:pPr algn="ctr"/>
            <a:r>
              <a:rPr kumimoji="1" lang="ja-JP" altLang="en-US" sz="1800">
                <a:solidFill>
                  <a:schemeClr val="tx1"/>
                </a:solidFill>
                <a:latin typeface="03スマートフォントUI" panose="02000600000000000000" pitchFamily="50" charset="-128"/>
                <a:ea typeface="03スマートフォントUI" panose="02000600000000000000" pitchFamily="50" charset="-128"/>
              </a:rPr>
              <a:t>（</a:t>
            </a:r>
            <a:r>
              <a:rPr kumimoji="1" lang="en-US" altLang="ja-JP" sz="1800">
                <a:solidFill>
                  <a:schemeClr val="tx1"/>
                </a:solidFill>
                <a:latin typeface="03スマートフォントUI" panose="02000600000000000000" pitchFamily="50" charset="-128"/>
                <a:ea typeface="03スマートフォントUI" panose="02000600000000000000" pitchFamily="50" charset="-128"/>
              </a:rPr>
              <a:t>40</a:t>
            </a:r>
            <a:r>
              <a:rPr kumimoji="1" lang="ja-JP" altLang="en-US" sz="1800">
                <a:solidFill>
                  <a:schemeClr val="tx1"/>
                </a:solidFill>
                <a:latin typeface="03スマートフォントUI" panose="02000600000000000000" pitchFamily="50" charset="-128"/>
                <a:ea typeface="03スマートフォントUI" panose="02000600000000000000" pitchFamily="50" charset="-128"/>
              </a:rPr>
              <a:t>～</a:t>
            </a:r>
            <a:r>
              <a:rPr kumimoji="1" lang="en-US" altLang="ja-JP" sz="1800">
                <a:solidFill>
                  <a:schemeClr val="tx1"/>
                </a:solidFill>
                <a:latin typeface="03スマートフォントUI" panose="02000600000000000000" pitchFamily="50" charset="-128"/>
                <a:ea typeface="03スマートフォントUI" panose="02000600000000000000" pitchFamily="50" charset="-128"/>
              </a:rPr>
              <a:t>64</a:t>
            </a:r>
            <a:r>
              <a:rPr kumimoji="1" lang="ja-JP" altLang="en-US" sz="1800">
                <a:solidFill>
                  <a:schemeClr val="tx1"/>
                </a:solidFill>
                <a:latin typeface="03スマートフォントUI" panose="02000600000000000000" pitchFamily="50" charset="-128"/>
                <a:ea typeface="03スマートフォントUI" panose="02000600000000000000" pitchFamily="50" charset="-128"/>
              </a:rPr>
              <a:t>歳）</a:t>
            </a:r>
            <a:endParaRPr kumimoji="1" lang="en-US" altLang="ja-JP" sz="1800">
              <a:solidFill>
                <a:schemeClr val="tx1"/>
              </a:solidFill>
              <a:latin typeface="03スマートフォントUI" panose="02000600000000000000" pitchFamily="50" charset="-128"/>
              <a:ea typeface="03スマートフォントUI" panose="02000600000000000000" pitchFamily="50" charset="-128"/>
            </a:endParaRPr>
          </a:p>
          <a:p>
            <a:pPr algn="ctr"/>
            <a:r>
              <a:rPr lang="ja-JP" altLang="en-US"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①所得割</a:t>
            </a:r>
            <a:endParaRPr lang="en-US" altLang="ja-JP"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r>
              <a:rPr lang="ja-JP" altLang="en-US"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②均等割</a:t>
            </a:r>
            <a:endParaRPr lang="en-US" altLang="ja-JP"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r>
              <a:rPr lang="ja-JP" altLang="en-US"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③平等割</a:t>
            </a:r>
            <a:endParaRPr lang="en-US" altLang="ja-JP"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r>
              <a:rPr lang="ja-JP" altLang="en-US"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限度額</a:t>
            </a:r>
            <a:r>
              <a:rPr lang="en-US" altLang="ja-JP"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160,000</a:t>
            </a:r>
            <a:r>
              <a:rPr lang="ja-JP" altLang="en-US"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円</a:t>
            </a:r>
            <a:endParaRPr kumimoji="1" lang="ja-JP" altLang="en-US" sz="1400">
              <a:solidFill>
                <a:schemeClr val="tx1"/>
              </a:solidFill>
              <a:latin typeface="03スマートフォントUI" panose="02000600000000000000" pitchFamily="50" charset="-128"/>
              <a:ea typeface="03スマートフォントUI" panose="02000600000000000000" pitchFamily="50" charset="-128"/>
            </a:endParaRPr>
          </a:p>
        </xdr:txBody>
      </xdr:sp>
      <xdr:sp macro="" textlink="">
        <xdr:nvSpPr>
          <xdr:cNvPr id="6" name="等号 5">
            <a:extLst>
              <a:ext uri="{FF2B5EF4-FFF2-40B4-BE49-F238E27FC236}">
                <a16:creationId xmlns:a16="http://schemas.microsoft.com/office/drawing/2014/main" id="{00000000-0008-0000-0300-000006000000}"/>
              </a:ext>
            </a:extLst>
          </xdr:cNvPr>
          <xdr:cNvSpPr/>
        </xdr:nvSpPr>
        <xdr:spPr>
          <a:xfrm>
            <a:off x="5265964" y="1004281"/>
            <a:ext cx="421822" cy="408214"/>
          </a:xfrm>
          <a:prstGeom prst="mathEqual">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4572001" y="326572"/>
            <a:ext cx="666750" cy="1796143"/>
          </a:xfrm>
          <a:prstGeom prst="roundRect">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2400">
                <a:solidFill>
                  <a:schemeClr val="tx1"/>
                </a:solidFill>
                <a:latin typeface="03スマートフォントUI" panose="02000600000000000000" pitchFamily="50" charset="-128"/>
                <a:ea typeface="03スマートフォントUI" panose="02000600000000000000" pitchFamily="50" charset="-128"/>
              </a:rPr>
              <a:t>保険税額</a:t>
            </a:r>
          </a:p>
        </xdr:txBody>
      </xdr:sp>
    </xdr:grpSp>
    <xdr:clientData/>
  </xdr:twoCellAnchor>
  <xdr:twoCellAnchor>
    <xdr:from>
      <xdr:col>10</xdr:col>
      <xdr:colOff>228596</xdr:colOff>
      <xdr:row>3</xdr:row>
      <xdr:rowOff>0</xdr:rowOff>
    </xdr:from>
    <xdr:to>
      <xdr:col>10</xdr:col>
      <xdr:colOff>832754</xdr:colOff>
      <xdr:row>3</xdr:row>
      <xdr:rowOff>302078</xdr:rowOff>
    </xdr:to>
    <xdr:sp macro="" textlink="">
      <xdr:nvSpPr>
        <xdr:cNvPr id="8" name="加算 7">
          <a:extLst>
            <a:ext uri="{FF2B5EF4-FFF2-40B4-BE49-F238E27FC236}">
              <a16:creationId xmlns:a16="http://schemas.microsoft.com/office/drawing/2014/main" id="{00000000-0008-0000-0300-000008000000}"/>
            </a:ext>
          </a:extLst>
        </xdr:cNvPr>
        <xdr:cNvSpPr/>
      </xdr:nvSpPr>
      <xdr:spPr>
        <a:xfrm>
          <a:off x="9522275" y="1006929"/>
          <a:ext cx="604158" cy="302078"/>
        </a:xfrm>
        <a:prstGeom prst="mathPlus">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155120</xdr:colOff>
      <xdr:row>3</xdr:row>
      <xdr:rowOff>0</xdr:rowOff>
    </xdr:from>
    <xdr:to>
      <xdr:col>8</xdr:col>
      <xdr:colOff>767442</xdr:colOff>
      <xdr:row>3</xdr:row>
      <xdr:rowOff>318407</xdr:rowOff>
    </xdr:to>
    <xdr:sp macro="" textlink="">
      <xdr:nvSpPr>
        <xdr:cNvPr id="9" name="加算 8">
          <a:extLst>
            <a:ext uri="{FF2B5EF4-FFF2-40B4-BE49-F238E27FC236}">
              <a16:creationId xmlns:a16="http://schemas.microsoft.com/office/drawing/2014/main" id="{00000000-0008-0000-0300-000009000000}"/>
            </a:ext>
          </a:extLst>
        </xdr:cNvPr>
        <xdr:cNvSpPr/>
      </xdr:nvSpPr>
      <xdr:spPr>
        <a:xfrm>
          <a:off x="7717970" y="1069521"/>
          <a:ext cx="612322" cy="639536"/>
        </a:xfrm>
        <a:prstGeom prst="mathPlus">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54"/>
  <sheetViews>
    <sheetView tabSelected="1" zoomScaleNormal="100" workbookViewId="0">
      <selection activeCell="C5" sqref="C5"/>
    </sheetView>
  </sheetViews>
  <sheetFormatPr defaultRowHeight="18.75" x14ac:dyDescent="0.15"/>
  <cols>
    <col min="1" max="1" width="3.875" style="32" bestFit="1" customWidth="1"/>
    <col min="2" max="6" width="17.375" style="32" customWidth="1"/>
    <col min="7" max="7" width="16.75" style="32" customWidth="1"/>
    <col min="8" max="8" width="15.625" style="32" customWidth="1"/>
    <col min="9" max="9" width="20.125" style="32" customWidth="1"/>
    <col min="10" max="10" width="5.125" style="32" customWidth="1"/>
    <col min="11" max="11" width="11.25" style="32" hidden="1" customWidth="1"/>
    <col min="12" max="12" width="9.25" style="32" hidden="1" customWidth="1"/>
    <col min="13" max="13" width="11.25" style="32" hidden="1" customWidth="1"/>
    <col min="14" max="14" width="12.125" style="32" customWidth="1"/>
    <col min="15" max="15" width="9" style="32"/>
    <col min="16" max="16" width="6" style="32" customWidth="1"/>
    <col min="17" max="256" width="9" style="32"/>
    <col min="257" max="257" width="3.875" style="32" bestFit="1" customWidth="1"/>
    <col min="258" max="262" width="17.375" style="32" customWidth="1"/>
    <col min="263" max="265" width="15.625" style="32" customWidth="1"/>
    <col min="266" max="266" width="10.75" style="32" customWidth="1"/>
    <col min="267" max="268" width="0" style="32" hidden="1" customWidth="1"/>
    <col min="269" max="269" width="9.375" style="32" customWidth="1"/>
    <col min="270" max="270" width="10" style="32" customWidth="1"/>
    <col min="271" max="271" width="9" style="32"/>
    <col min="272" max="272" width="6" style="32" customWidth="1"/>
    <col min="273" max="512" width="9" style="32"/>
    <col min="513" max="513" width="3.875" style="32" bestFit="1" customWidth="1"/>
    <col min="514" max="518" width="17.375" style="32" customWidth="1"/>
    <col min="519" max="521" width="15.625" style="32" customWidth="1"/>
    <col min="522" max="522" width="10.75" style="32" customWidth="1"/>
    <col min="523" max="524" width="0" style="32" hidden="1" customWidth="1"/>
    <col min="525" max="525" width="9.375" style="32" customWidth="1"/>
    <col min="526" max="526" width="10" style="32" customWidth="1"/>
    <col min="527" max="527" width="9" style="32"/>
    <col min="528" max="528" width="6" style="32" customWidth="1"/>
    <col min="529" max="768" width="9" style="32"/>
    <col min="769" max="769" width="3.875" style="32" bestFit="1" customWidth="1"/>
    <col min="770" max="774" width="17.375" style="32" customWidth="1"/>
    <col min="775" max="777" width="15.625" style="32" customWidth="1"/>
    <col min="778" max="778" width="10.75" style="32" customWidth="1"/>
    <col min="779" max="780" width="0" style="32" hidden="1" customWidth="1"/>
    <col min="781" max="781" width="9.375" style="32" customWidth="1"/>
    <col min="782" max="782" width="10" style="32" customWidth="1"/>
    <col min="783" max="783" width="9" style="32"/>
    <col min="784" max="784" width="6" style="32" customWidth="1"/>
    <col min="785" max="1024" width="9" style="32"/>
    <col min="1025" max="1025" width="3.875" style="32" bestFit="1" customWidth="1"/>
    <col min="1026" max="1030" width="17.375" style="32" customWidth="1"/>
    <col min="1031" max="1033" width="15.625" style="32" customWidth="1"/>
    <col min="1034" max="1034" width="10.75" style="32" customWidth="1"/>
    <col min="1035" max="1036" width="0" style="32" hidden="1" customWidth="1"/>
    <col min="1037" max="1037" width="9.375" style="32" customWidth="1"/>
    <col min="1038" max="1038" width="10" style="32" customWidth="1"/>
    <col min="1039" max="1039" width="9" style="32"/>
    <col min="1040" max="1040" width="6" style="32" customWidth="1"/>
    <col min="1041" max="1280" width="9" style="32"/>
    <col min="1281" max="1281" width="3.875" style="32" bestFit="1" customWidth="1"/>
    <col min="1282" max="1286" width="17.375" style="32" customWidth="1"/>
    <col min="1287" max="1289" width="15.625" style="32" customWidth="1"/>
    <col min="1290" max="1290" width="10.75" style="32" customWidth="1"/>
    <col min="1291" max="1292" width="0" style="32" hidden="1" customWidth="1"/>
    <col min="1293" max="1293" width="9.375" style="32" customWidth="1"/>
    <col min="1294" max="1294" width="10" style="32" customWidth="1"/>
    <col min="1295" max="1295" width="9" style="32"/>
    <col min="1296" max="1296" width="6" style="32" customWidth="1"/>
    <col min="1297" max="1536" width="9" style="32"/>
    <col min="1537" max="1537" width="3.875" style="32" bestFit="1" customWidth="1"/>
    <col min="1538" max="1542" width="17.375" style="32" customWidth="1"/>
    <col min="1543" max="1545" width="15.625" style="32" customWidth="1"/>
    <col min="1546" max="1546" width="10.75" style="32" customWidth="1"/>
    <col min="1547" max="1548" width="0" style="32" hidden="1" customWidth="1"/>
    <col min="1549" max="1549" width="9.375" style="32" customWidth="1"/>
    <col min="1550" max="1550" width="10" style="32" customWidth="1"/>
    <col min="1551" max="1551" width="9" style="32"/>
    <col min="1552" max="1552" width="6" style="32" customWidth="1"/>
    <col min="1553" max="1792" width="9" style="32"/>
    <col min="1793" max="1793" width="3.875" style="32" bestFit="1" customWidth="1"/>
    <col min="1794" max="1798" width="17.375" style="32" customWidth="1"/>
    <col min="1799" max="1801" width="15.625" style="32" customWidth="1"/>
    <col min="1802" max="1802" width="10.75" style="32" customWidth="1"/>
    <col min="1803" max="1804" width="0" style="32" hidden="1" customWidth="1"/>
    <col min="1805" max="1805" width="9.375" style="32" customWidth="1"/>
    <col min="1806" max="1806" width="10" style="32" customWidth="1"/>
    <col min="1807" max="1807" width="9" style="32"/>
    <col min="1808" max="1808" width="6" style="32" customWidth="1"/>
    <col min="1809" max="2048" width="9" style="32"/>
    <col min="2049" max="2049" width="3.875" style="32" bestFit="1" customWidth="1"/>
    <col min="2050" max="2054" width="17.375" style="32" customWidth="1"/>
    <col min="2055" max="2057" width="15.625" style="32" customWidth="1"/>
    <col min="2058" max="2058" width="10.75" style="32" customWidth="1"/>
    <col min="2059" max="2060" width="0" style="32" hidden="1" customWidth="1"/>
    <col min="2061" max="2061" width="9.375" style="32" customWidth="1"/>
    <col min="2062" max="2062" width="10" style="32" customWidth="1"/>
    <col min="2063" max="2063" width="9" style="32"/>
    <col min="2064" max="2064" width="6" style="32" customWidth="1"/>
    <col min="2065" max="2304" width="9" style="32"/>
    <col min="2305" max="2305" width="3.875" style="32" bestFit="1" customWidth="1"/>
    <col min="2306" max="2310" width="17.375" style="32" customWidth="1"/>
    <col min="2311" max="2313" width="15.625" style="32" customWidth="1"/>
    <col min="2314" max="2314" width="10.75" style="32" customWidth="1"/>
    <col min="2315" max="2316" width="0" style="32" hidden="1" customWidth="1"/>
    <col min="2317" max="2317" width="9.375" style="32" customWidth="1"/>
    <col min="2318" max="2318" width="10" style="32" customWidth="1"/>
    <col min="2319" max="2319" width="9" style="32"/>
    <col min="2320" max="2320" width="6" style="32" customWidth="1"/>
    <col min="2321" max="2560" width="9" style="32"/>
    <col min="2561" max="2561" width="3.875" style="32" bestFit="1" customWidth="1"/>
    <col min="2562" max="2566" width="17.375" style="32" customWidth="1"/>
    <col min="2567" max="2569" width="15.625" style="32" customWidth="1"/>
    <col min="2570" max="2570" width="10.75" style="32" customWidth="1"/>
    <col min="2571" max="2572" width="0" style="32" hidden="1" customWidth="1"/>
    <col min="2573" max="2573" width="9.375" style="32" customWidth="1"/>
    <col min="2574" max="2574" width="10" style="32" customWidth="1"/>
    <col min="2575" max="2575" width="9" style="32"/>
    <col min="2576" max="2576" width="6" style="32" customWidth="1"/>
    <col min="2577" max="2816" width="9" style="32"/>
    <col min="2817" max="2817" width="3.875" style="32" bestFit="1" customWidth="1"/>
    <col min="2818" max="2822" width="17.375" style="32" customWidth="1"/>
    <col min="2823" max="2825" width="15.625" style="32" customWidth="1"/>
    <col min="2826" max="2826" width="10.75" style="32" customWidth="1"/>
    <col min="2827" max="2828" width="0" style="32" hidden="1" customWidth="1"/>
    <col min="2829" max="2829" width="9.375" style="32" customWidth="1"/>
    <col min="2830" max="2830" width="10" style="32" customWidth="1"/>
    <col min="2831" max="2831" width="9" style="32"/>
    <col min="2832" max="2832" width="6" style="32" customWidth="1"/>
    <col min="2833" max="3072" width="9" style="32"/>
    <col min="3073" max="3073" width="3.875" style="32" bestFit="1" customWidth="1"/>
    <col min="3074" max="3078" width="17.375" style="32" customWidth="1"/>
    <col min="3079" max="3081" width="15.625" style="32" customWidth="1"/>
    <col min="3082" max="3082" width="10.75" style="32" customWidth="1"/>
    <col min="3083" max="3084" width="0" style="32" hidden="1" customWidth="1"/>
    <col min="3085" max="3085" width="9.375" style="32" customWidth="1"/>
    <col min="3086" max="3086" width="10" style="32" customWidth="1"/>
    <col min="3087" max="3087" width="9" style="32"/>
    <col min="3088" max="3088" width="6" style="32" customWidth="1"/>
    <col min="3089" max="3328" width="9" style="32"/>
    <col min="3329" max="3329" width="3.875" style="32" bestFit="1" customWidth="1"/>
    <col min="3330" max="3334" width="17.375" style="32" customWidth="1"/>
    <col min="3335" max="3337" width="15.625" style="32" customWidth="1"/>
    <col min="3338" max="3338" width="10.75" style="32" customWidth="1"/>
    <col min="3339" max="3340" width="0" style="32" hidden="1" customWidth="1"/>
    <col min="3341" max="3341" width="9.375" style="32" customWidth="1"/>
    <col min="3342" max="3342" width="10" style="32" customWidth="1"/>
    <col min="3343" max="3343" width="9" style="32"/>
    <col min="3344" max="3344" width="6" style="32" customWidth="1"/>
    <col min="3345" max="3584" width="9" style="32"/>
    <col min="3585" max="3585" width="3.875" style="32" bestFit="1" customWidth="1"/>
    <col min="3586" max="3590" width="17.375" style="32" customWidth="1"/>
    <col min="3591" max="3593" width="15.625" style="32" customWidth="1"/>
    <col min="3594" max="3594" width="10.75" style="32" customWidth="1"/>
    <col min="3595" max="3596" width="0" style="32" hidden="1" customWidth="1"/>
    <col min="3597" max="3597" width="9.375" style="32" customWidth="1"/>
    <col min="3598" max="3598" width="10" style="32" customWidth="1"/>
    <col min="3599" max="3599" width="9" style="32"/>
    <col min="3600" max="3600" width="6" style="32" customWidth="1"/>
    <col min="3601" max="3840" width="9" style="32"/>
    <col min="3841" max="3841" width="3.875" style="32" bestFit="1" customWidth="1"/>
    <col min="3842" max="3846" width="17.375" style="32" customWidth="1"/>
    <col min="3847" max="3849" width="15.625" style="32" customWidth="1"/>
    <col min="3850" max="3850" width="10.75" style="32" customWidth="1"/>
    <col min="3851" max="3852" width="0" style="32" hidden="1" customWidth="1"/>
    <col min="3853" max="3853" width="9.375" style="32" customWidth="1"/>
    <col min="3854" max="3854" width="10" style="32" customWidth="1"/>
    <col min="3855" max="3855" width="9" style="32"/>
    <col min="3856" max="3856" width="6" style="32" customWidth="1"/>
    <col min="3857" max="4096" width="9" style="32"/>
    <col min="4097" max="4097" width="3.875" style="32" bestFit="1" customWidth="1"/>
    <col min="4098" max="4102" width="17.375" style="32" customWidth="1"/>
    <col min="4103" max="4105" width="15.625" style="32" customWidth="1"/>
    <col min="4106" max="4106" width="10.75" style="32" customWidth="1"/>
    <col min="4107" max="4108" width="0" style="32" hidden="1" customWidth="1"/>
    <col min="4109" max="4109" width="9.375" style="32" customWidth="1"/>
    <col min="4110" max="4110" width="10" style="32" customWidth="1"/>
    <col min="4111" max="4111" width="9" style="32"/>
    <col min="4112" max="4112" width="6" style="32" customWidth="1"/>
    <col min="4113" max="4352" width="9" style="32"/>
    <col min="4353" max="4353" width="3.875" style="32" bestFit="1" customWidth="1"/>
    <col min="4354" max="4358" width="17.375" style="32" customWidth="1"/>
    <col min="4359" max="4361" width="15.625" style="32" customWidth="1"/>
    <col min="4362" max="4362" width="10.75" style="32" customWidth="1"/>
    <col min="4363" max="4364" width="0" style="32" hidden="1" customWidth="1"/>
    <col min="4365" max="4365" width="9.375" style="32" customWidth="1"/>
    <col min="4366" max="4366" width="10" style="32" customWidth="1"/>
    <col min="4367" max="4367" width="9" style="32"/>
    <col min="4368" max="4368" width="6" style="32" customWidth="1"/>
    <col min="4369" max="4608" width="9" style="32"/>
    <col min="4609" max="4609" width="3.875" style="32" bestFit="1" customWidth="1"/>
    <col min="4610" max="4614" width="17.375" style="32" customWidth="1"/>
    <col min="4615" max="4617" width="15.625" style="32" customWidth="1"/>
    <col min="4618" max="4618" width="10.75" style="32" customWidth="1"/>
    <col min="4619" max="4620" width="0" style="32" hidden="1" customWidth="1"/>
    <col min="4621" max="4621" width="9.375" style="32" customWidth="1"/>
    <col min="4622" max="4622" width="10" style="32" customWidth="1"/>
    <col min="4623" max="4623" width="9" style="32"/>
    <col min="4624" max="4624" width="6" style="32" customWidth="1"/>
    <col min="4625" max="4864" width="9" style="32"/>
    <col min="4865" max="4865" width="3.875" style="32" bestFit="1" customWidth="1"/>
    <col min="4866" max="4870" width="17.375" style="32" customWidth="1"/>
    <col min="4871" max="4873" width="15.625" style="32" customWidth="1"/>
    <col min="4874" max="4874" width="10.75" style="32" customWidth="1"/>
    <col min="4875" max="4876" width="0" style="32" hidden="1" customWidth="1"/>
    <col min="4877" max="4877" width="9.375" style="32" customWidth="1"/>
    <col min="4878" max="4878" width="10" style="32" customWidth="1"/>
    <col min="4879" max="4879" width="9" style="32"/>
    <col min="4880" max="4880" width="6" style="32" customWidth="1"/>
    <col min="4881" max="5120" width="9" style="32"/>
    <col min="5121" max="5121" width="3.875" style="32" bestFit="1" customWidth="1"/>
    <col min="5122" max="5126" width="17.375" style="32" customWidth="1"/>
    <col min="5127" max="5129" width="15.625" style="32" customWidth="1"/>
    <col min="5130" max="5130" width="10.75" style="32" customWidth="1"/>
    <col min="5131" max="5132" width="0" style="32" hidden="1" customWidth="1"/>
    <col min="5133" max="5133" width="9.375" style="32" customWidth="1"/>
    <col min="5134" max="5134" width="10" style="32" customWidth="1"/>
    <col min="5135" max="5135" width="9" style="32"/>
    <col min="5136" max="5136" width="6" style="32" customWidth="1"/>
    <col min="5137" max="5376" width="9" style="32"/>
    <col min="5377" max="5377" width="3.875" style="32" bestFit="1" customWidth="1"/>
    <col min="5378" max="5382" width="17.375" style="32" customWidth="1"/>
    <col min="5383" max="5385" width="15.625" style="32" customWidth="1"/>
    <col min="5386" max="5386" width="10.75" style="32" customWidth="1"/>
    <col min="5387" max="5388" width="0" style="32" hidden="1" customWidth="1"/>
    <col min="5389" max="5389" width="9.375" style="32" customWidth="1"/>
    <col min="5390" max="5390" width="10" style="32" customWidth="1"/>
    <col min="5391" max="5391" width="9" style="32"/>
    <col min="5392" max="5392" width="6" style="32" customWidth="1"/>
    <col min="5393" max="5632" width="9" style="32"/>
    <col min="5633" max="5633" width="3.875" style="32" bestFit="1" customWidth="1"/>
    <col min="5634" max="5638" width="17.375" style="32" customWidth="1"/>
    <col min="5639" max="5641" width="15.625" style="32" customWidth="1"/>
    <col min="5642" max="5642" width="10.75" style="32" customWidth="1"/>
    <col min="5643" max="5644" width="0" style="32" hidden="1" customWidth="1"/>
    <col min="5645" max="5645" width="9.375" style="32" customWidth="1"/>
    <col min="5646" max="5646" width="10" style="32" customWidth="1"/>
    <col min="5647" max="5647" width="9" style="32"/>
    <col min="5648" max="5648" width="6" style="32" customWidth="1"/>
    <col min="5649" max="5888" width="9" style="32"/>
    <col min="5889" max="5889" width="3.875" style="32" bestFit="1" customWidth="1"/>
    <col min="5890" max="5894" width="17.375" style="32" customWidth="1"/>
    <col min="5895" max="5897" width="15.625" style="32" customWidth="1"/>
    <col min="5898" max="5898" width="10.75" style="32" customWidth="1"/>
    <col min="5899" max="5900" width="0" style="32" hidden="1" customWidth="1"/>
    <col min="5901" max="5901" width="9.375" style="32" customWidth="1"/>
    <col min="5902" max="5902" width="10" style="32" customWidth="1"/>
    <col min="5903" max="5903" width="9" style="32"/>
    <col min="5904" max="5904" width="6" style="32" customWidth="1"/>
    <col min="5905" max="6144" width="9" style="32"/>
    <col min="6145" max="6145" width="3.875" style="32" bestFit="1" customWidth="1"/>
    <col min="6146" max="6150" width="17.375" style="32" customWidth="1"/>
    <col min="6151" max="6153" width="15.625" style="32" customWidth="1"/>
    <col min="6154" max="6154" width="10.75" style="32" customWidth="1"/>
    <col min="6155" max="6156" width="0" style="32" hidden="1" customWidth="1"/>
    <col min="6157" max="6157" width="9.375" style="32" customWidth="1"/>
    <col min="6158" max="6158" width="10" style="32" customWidth="1"/>
    <col min="6159" max="6159" width="9" style="32"/>
    <col min="6160" max="6160" width="6" style="32" customWidth="1"/>
    <col min="6161" max="6400" width="9" style="32"/>
    <col min="6401" max="6401" width="3.875" style="32" bestFit="1" customWidth="1"/>
    <col min="6402" max="6406" width="17.375" style="32" customWidth="1"/>
    <col min="6407" max="6409" width="15.625" style="32" customWidth="1"/>
    <col min="6410" max="6410" width="10.75" style="32" customWidth="1"/>
    <col min="6411" max="6412" width="0" style="32" hidden="1" customWidth="1"/>
    <col min="6413" max="6413" width="9.375" style="32" customWidth="1"/>
    <col min="6414" max="6414" width="10" style="32" customWidth="1"/>
    <col min="6415" max="6415" width="9" style="32"/>
    <col min="6416" max="6416" width="6" style="32" customWidth="1"/>
    <col min="6417" max="6656" width="9" style="32"/>
    <col min="6657" max="6657" width="3.875" style="32" bestFit="1" customWidth="1"/>
    <col min="6658" max="6662" width="17.375" style="32" customWidth="1"/>
    <col min="6663" max="6665" width="15.625" style="32" customWidth="1"/>
    <col min="6666" max="6666" width="10.75" style="32" customWidth="1"/>
    <col min="6667" max="6668" width="0" style="32" hidden="1" customWidth="1"/>
    <col min="6669" max="6669" width="9.375" style="32" customWidth="1"/>
    <col min="6670" max="6670" width="10" style="32" customWidth="1"/>
    <col min="6671" max="6671" width="9" style="32"/>
    <col min="6672" max="6672" width="6" style="32" customWidth="1"/>
    <col min="6673" max="6912" width="9" style="32"/>
    <col min="6913" max="6913" width="3.875" style="32" bestFit="1" customWidth="1"/>
    <col min="6914" max="6918" width="17.375" style="32" customWidth="1"/>
    <col min="6919" max="6921" width="15.625" style="32" customWidth="1"/>
    <col min="6922" max="6922" width="10.75" style="32" customWidth="1"/>
    <col min="6923" max="6924" width="0" style="32" hidden="1" customWidth="1"/>
    <col min="6925" max="6925" width="9.375" style="32" customWidth="1"/>
    <col min="6926" max="6926" width="10" style="32" customWidth="1"/>
    <col min="6927" max="6927" width="9" style="32"/>
    <col min="6928" max="6928" width="6" style="32" customWidth="1"/>
    <col min="6929" max="7168" width="9" style="32"/>
    <col min="7169" max="7169" width="3.875" style="32" bestFit="1" customWidth="1"/>
    <col min="7170" max="7174" width="17.375" style="32" customWidth="1"/>
    <col min="7175" max="7177" width="15.625" style="32" customWidth="1"/>
    <col min="7178" max="7178" width="10.75" style="32" customWidth="1"/>
    <col min="7179" max="7180" width="0" style="32" hidden="1" customWidth="1"/>
    <col min="7181" max="7181" width="9.375" style="32" customWidth="1"/>
    <col min="7182" max="7182" width="10" style="32" customWidth="1"/>
    <col min="7183" max="7183" width="9" style="32"/>
    <col min="7184" max="7184" width="6" style="32" customWidth="1"/>
    <col min="7185" max="7424" width="9" style="32"/>
    <col min="7425" max="7425" width="3.875" style="32" bestFit="1" customWidth="1"/>
    <col min="7426" max="7430" width="17.375" style="32" customWidth="1"/>
    <col min="7431" max="7433" width="15.625" style="32" customWidth="1"/>
    <col min="7434" max="7434" width="10.75" style="32" customWidth="1"/>
    <col min="7435" max="7436" width="0" style="32" hidden="1" customWidth="1"/>
    <col min="7437" max="7437" width="9.375" style="32" customWidth="1"/>
    <col min="7438" max="7438" width="10" style="32" customWidth="1"/>
    <col min="7439" max="7439" width="9" style="32"/>
    <col min="7440" max="7440" width="6" style="32" customWidth="1"/>
    <col min="7441" max="7680" width="9" style="32"/>
    <col min="7681" max="7681" width="3.875" style="32" bestFit="1" customWidth="1"/>
    <col min="7682" max="7686" width="17.375" style="32" customWidth="1"/>
    <col min="7687" max="7689" width="15.625" style="32" customWidth="1"/>
    <col min="7690" max="7690" width="10.75" style="32" customWidth="1"/>
    <col min="7691" max="7692" width="0" style="32" hidden="1" customWidth="1"/>
    <col min="7693" max="7693" width="9.375" style="32" customWidth="1"/>
    <col min="7694" max="7694" width="10" style="32" customWidth="1"/>
    <col min="7695" max="7695" width="9" style="32"/>
    <col min="7696" max="7696" width="6" style="32" customWidth="1"/>
    <col min="7697" max="7936" width="9" style="32"/>
    <col min="7937" max="7937" width="3.875" style="32" bestFit="1" customWidth="1"/>
    <col min="7938" max="7942" width="17.375" style="32" customWidth="1"/>
    <col min="7943" max="7945" width="15.625" style="32" customWidth="1"/>
    <col min="7946" max="7946" width="10.75" style="32" customWidth="1"/>
    <col min="7947" max="7948" width="0" style="32" hidden="1" customWidth="1"/>
    <col min="7949" max="7949" width="9.375" style="32" customWidth="1"/>
    <col min="7950" max="7950" width="10" style="32" customWidth="1"/>
    <col min="7951" max="7951" width="9" style="32"/>
    <col min="7952" max="7952" width="6" style="32" customWidth="1"/>
    <col min="7953" max="8192" width="9" style="32"/>
    <col min="8193" max="8193" width="3.875" style="32" bestFit="1" customWidth="1"/>
    <col min="8194" max="8198" width="17.375" style="32" customWidth="1"/>
    <col min="8199" max="8201" width="15.625" style="32" customWidth="1"/>
    <col min="8202" max="8202" width="10.75" style="32" customWidth="1"/>
    <col min="8203" max="8204" width="0" style="32" hidden="1" customWidth="1"/>
    <col min="8205" max="8205" width="9.375" style="32" customWidth="1"/>
    <col min="8206" max="8206" width="10" style="32" customWidth="1"/>
    <col min="8207" max="8207" width="9" style="32"/>
    <col min="8208" max="8208" width="6" style="32" customWidth="1"/>
    <col min="8209" max="8448" width="9" style="32"/>
    <col min="8449" max="8449" width="3.875" style="32" bestFit="1" customWidth="1"/>
    <col min="8450" max="8454" width="17.375" style="32" customWidth="1"/>
    <col min="8455" max="8457" width="15.625" style="32" customWidth="1"/>
    <col min="8458" max="8458" width="10.75" style="32" customWidth="1"/>
    <col min="8459" max="8460" width="0" style="32" hidden="1" customWidth="1"/>
    <col min="8461" max="8461" width="9.375" style="32" customWidth="1"/>
    <col min="8462" max="8462" width="10" style="32" customWidth="1"/>
    <col min="8463" max="8463" width="9" style="32"/>
    <col min="8464" max="8464" width="6" style="32" customWidth="1"/>
    <col min="8465" max="8704" width="9" style="32"/>
    <col min="8705" max="8705" width="3.875" style="32" bestFit="1" customWidth="1"/>
    <col min="8706" max="8710" width="17.375" style="32" customWidth="1"/>
    <col min="8711" max="8713" width="15.625" style="32" customWidth="1"/>
    <col min="8714" max="8714" width="10.75" style="32" customWidth="1"/>
    <col min="8715" max="8716" width="0" style="32" hidden="1" customWidth="1"/>
    <col min="8717" max="8717" width="9.375" style="32" customWidth="1"/>
    <col min="8718" max="8718" width="10" style="32" customWidth="1"/>
    <col min="8719" max="8719" width="9" style="32"/>
    <col min="8720" max="8720" width="6" style="32" customWidth="1"/>
    <col min="8721" max="8960" width="9" style="32"/>
    <col min="8961" max="8961" width="3.875" style="32" bestFit="1" customWidth="1"/>
    <col min="8962" max="8966" width="17.375" style="32" customWidth="1"/>
    <col min="8967" max="8969" width="15.625" style="32" customWidth="1"/>
    <col min="8970" max="8970" width="10.75" style="32" customWidth="1"/>
    <col min="8971" max="8972" width="0" style="32" hidden="1" customWidth="1"/>
    <col min="8973" max="8973" width="9.375" style="32" customWidth="1"/>
    <col min="8974" max="8974" width="10" style="32" customWidth="1"/>
    <col min="8975" max="8975" width="9" style="32"/>
    <col min="8976" max="8976" width="6" style="32" customWidth="1"/>
    <col min="8977" max="9216" width="9" style="32"/>
    <col min="9217" max="9217" width="3.875" style="32" bestFit="1" customWidth="1"/>
    <col min="9218" max="9222" width="17.375" style="32" customWidth="1"/>
    <col min="9223" max="9225" width="15.625" style="32" customWidth="1"/>
    <col min="9226" max="9226" width="10.75" style="32" customWidth="1"/>
    <col min="9227" max="9228" width="0" style="32" hidden="1" customWidth="1"/>
    <col min="9229" max="9229" width="9.375" style="32" customWidth="1"/>
    <col min="9230" max="9230" width="10" style="32" customWidth="1"/>
    <col min="9231" max="9231" width="9" style="32"/>
    <col min="9232" max="9232" width="6" style="32" customWidth="1"/>
    <col min="9233" max="9472" width="9" style="32"/>
    <col min="9473" max="9473" width="3.875" style="32" bestFit="1" customWidth="1"/>
    <col min="9474" max="9478" width="17.375" style="32" customWidth="1"/>
    <col min="9479" max="9481" width="15.625" style="32" customWidth="1"/>
    <col min="9482" max="9482" width="10.75" style="32" customWidth="1"/>
    <col min="9483" max="9484" width="0" style="32" hidden="1" customWidth="1"/>
    <col min="9485" max="9485" width="9.375" style="32" customWidth="1"/>
    <col min="9486" max="9486" width="10" style="32" customWidth="1"/>
    <col min="9487" max="9487" width="9" style="32"/>
    <col min="9488" max="9488" width="6" style="32" customWidth="1"/>
    <col min="9489" max="9728" width="9" style="32"/>
    <col min="9729" max="9729" width="3.875" style="32" bestFit="1" customWidth="1"/>
    <col min="9730" max="9734" width="17.375" style="32" customWidth="1"/>
    <col min="9735" max="9737" width="15.625" style="32" customWidth="1"/>
    <col min="9738" max="9738" width="10.75" style="32" customWidth="1"/>
    <col min="9739" max="9740" width="0" style="32" hidden="1" customWidth="1"/>
    <col min="9741" max="9741" width="9.375" style="32" customWidth="1"/>
    <col min="9742" max="9742" width="10" style="32" customWidth="1"/>
    <col min="9743" max="9743" width="9" style="32"/>
    <col min="9744" max="9744" width="6" style="32" customWidth="1"/>
    <col min="9745" max="9984" width="9" style="32"/>
    <col min="9985" max="9985" width="3.875" style="32" bestFit="1" customWidth="1"/>
    <col min="9986" max="9990" width="17.375" style="32" customWidth="1"/>
    <col min="9991" max="9993" width="15.625" style="32" customWidth="1"/>
    <col min="9994" max="9994" width="10.75" style="32" customWidth="1"/>
    <col min="9995" max="9996" width="0" style="32" hidden="1" customWidth="1"/>
    <col min="9997" max="9997" width="9.375" style="32" customWidth="1"/>
    <col min="9998" max="9998" width="10" style="32" customWidth="1"/>
    <col min="9999" max="9999" width="9" style="32"/>
    <col min="10000" max="10000" width="6" style="32" customWidth="1"/>
    <col min="10001" max="10240" width="9" style="32"/>
    <col min="10241" max="10241" width="3.875" style="32" bestFit="1" customWidth="1"/>
    <col min="10242" max="10246" width="17.375" style="32" customWidth="1"/>
    <col min="10247" max="10249" width="15.625" style="32" customWidth="1"/>
    <col min="10250" max="10250" width="10.75" style="32" customWidth="1"/>
    <col min="10251" max="10252" width="0" style="32" hidden="1" customWidth="1"/>
    <col min="10253" max="10253" width="9.375" style="32" customWidth="1"/>
    <col min="10254" max="10254" width="10" style="32" customWidth="1"/>
    <col min="10255" max="10255" width="9" style="32"/>
    <col min="10256" max="10256" width="6" style="32" customWidth="1"/>
    <col min="10257" max="10496" width="9" style="32"/>
    <col min="10497" max="10497" width="3.875" style="32" bestFit="1" customWidth="1"/>
    <col min="10498" max="10502" width="17.375" style="32" customWidth="1"/>
    <col min="10503" max="10505" width="15.625" style="32" customWidth="1"/>
    <col min="10506" max="10506" width="10.75" style="32" customWidth="1"/>
    <col min="10507" max="10508" width="0" style="32" hidden="1" customWidth="1"/>
    <col min="10509" max="10509" width="9.375" style="32" customWidth="1"/>
    <col min="10510" max="10510" width="10" style="32" customWidth="1"/>
    <col min="10511" max="10511" width="9" style="32"/>
    <col min="10512" max="10512" width="6" style="32" customWidth="1"/>
    <col min="10513" max="10752" width="9" style="32"/>
    <col min="10753" max="10753" width="3.875" style="32" bestFit="1" customWidth="1"/>
    <col min="10754" max="10758" width="17.375" style="32" customWidth="1"/>
    <col min="10759" max="10761" width="15.625" style="32" customWidth="1"/>
    <col min="10762" max="10762" width="10.75" style="32" customWidth="1"/>
    <col min="10763" max="10764" width="0" style="32" hidden="1" customWidth="1"/>
    <col min="10765" max="10765" width="9.375" style="32" customWidth="1"/>
    <col min="10766" max="10766" width="10" style="32" customWidth="1"/>
    <col min="10767" max="10767" width="9" style="32"/>
    <col min="10768" max="10768" width="6" style="32" customWidth="1"/>
    <col min="10769" max="11008" width="9" style="32"/>
    <col min="11009" max="11009" width="3.875" style="32" bestFit="1" customWidth="1"/>
    <col min="11010" max="11014" width="17.375" style="32" customWidth="1"/>
    <col min="11015" max="11017" width="15.625" style="32" customWidth="1"/>
    <col min="11018" max="11018" width="10.75" style="32" customWidth="1"/>
    <col min="11019" max="11020" width="0" style="32" hidden="1" customWidth="1"/>
    <col min="11021" max="11021" width="9.375" style="32" customWidth="1"/>
    <col min="11022" max="11022" width="10" style="32" customWidth="1"/>
    <col min="11023" max="11023" width="9" style="32"/>
    <col min="11024" max="11024" width="6" style="32" customWidth="1"/>
    <col min="11025" max="11264" width="9" style="32"/>
    <col min="11265" max="11265" width="3.875" style="32" bestFit="1" customWidth="1"/>
    <col min="11266" max="11270" width="17.375" style="32" customWidth="1"/>
    <col min="11271" max="11273" width="15.625" style="32" customWidth="1"/>
    <col min="11274" max="11274" width="10.75" style="32" customWidth="1"/>
    <col min="11275" max="11276" width="0" style="32" hidden="1" customWidth="1"/>
    <col min="11277" max="11277" width="9.375" style="32" customWidth="1"/>
    <col min="11278" max="11278" width="10" style="32" customWidth="1"/>
    <col min="11279" max="11279" width="9" style="32"/>
    <col min="11280" max="11280" width="6" style="32" customWidth="1"/>
    <col min="11281" max="11520" width="9" style="32"/>
    <col min="11521" max="11521" width="3.875" style="32" bestFit="1" customWidth="1"/>
    <col min="11522" max="11526" width="17.375" style="32" customWidth="1"/>
    <col min="11527" max="11529" width="15.625" style="32" customWidth="1"/>
    <col min="11530" max="11530" width="10.75" style="32" customWidth="1"/>
    <col min="11531" max="11532" width="0" style="32" hidden="1" customWidth="1"/>
    <col min="11533" max="11533" width="9.375" style="32" customWidth="1"/>
    <col min="11534" max="11534" width="10" style="32" customWidth="1"/>
    <col min="11535" max="11535" width="9" style="32"/>
    <col min="11536" max="11536" width="6" style="32" customWidth="1"/>
    <col min="11537" max="11776" width="9" style="32"/>
    <col min="11777" max="11777" width="3.875" style="32" bestFit="1" customWidth="1"/>
    <col min="11778" max="11782" width="17.375" style="32" customWidth="1"/>
    <col min="11783" max="11785" width="15.625" style="32" customWidth="1"/>
    <col min="11786" max="11786" width="10.75" style="32" customWidth="1"/>
    <col min="11787" max="11788" width="0" style="32" hidden="1" customWidth="1"/>
    <col min="11789" max="11789" width="9.375" style="32" customWidth="1"/>
    <col min="11790" max="11790" width="10" style="32" customWidth="1"/>
    <col min="11791" max="11791" width="9" style="32"/>
    <col min="11792" max="11792" width="6" style="32" customWidth="1"/>
    <col min="11793" max="12032" width="9" style="32"/>
    <col min="12033" max="12033" width="3.875" style="32" bestFit="1" customWidth="1"/>
    <col min="12034" max="12038" width="17.375" style="32" customWidth="1"/>
    <col min="12039" max="12041" width="15.625" style="32" customWidth="1"/>
    <col min="12042" max="12042" width="10.75" style="32" customWidth="1"/>
    <col min="12043" max="12044" width="0" style="32" hidden="1" customWidth="1"/>
    <col min="12045" max="12045" width="9.375" style="32" customWidth="1"/>
    <col min="12046" max="12046" width="10" style="32" customWidth="1"/>
    <col min="12047" max="12047" width="9" style="32"/>
    <col min="12048" max="12048" width="6" style="32" customWidth="1"/>
    <col min="12049" max="12288" width="9" style="32"/>
    <col min="12289" max="12289" width="3.875" style="32" bestFit="1" customWidth="1"/>
    <col min="12290" max="12294" width="17.375" style="32" customWidth="1"/>
    <col min="12295" max="12297" width="15.625" style="32" customWidth="1"/>
    <col min="12298" max="12298" width="10.75" style="32" customWidth="1"/>
    <col min="12299" max="12300" width="0" style="32" hidden="1" customWidth="1"/>
    <col min="12301" max="12301" width="9.375" style="32" customWidth="1"/>
    <col min="12302" max="12302" width="10" style="32" customWidth="1"/>
    <col min="12303" max="12303" width="9" style="32"/>
    <col min="12304" max="12304" width="6" style="32" customWidth="1"/>
    <col min="12305" max="12544" width="9" style="32"/>
    <col min="12545" max="12545" width="3.875" style="32" bestFit="1" customWidth="1"/>
    <col min="12546" max="12550" width="17.375" style="32" customWidth="1"/>
    <col min="12551" max="12553" width="15.625" style="32" customWidth="1"/>
    <col min="12554" max="12554" width="10.75" style="32" customWidth="1"/>
    <col min="12555" max="12556" width="0" style="32" hidden="1" customWidth="1"/>
    <col min="12557" max="12557" width="9.375" style="32" customWidth="1"/>
    <col min="12558" max="12558" width="10" style="32" customWidth="1"/>
    <col min="12559" max="12559" width="9" style="32"/>
    <col min="12560" max="12560" width="6" style="32" customWidth="1"/>
    <col min="12561" max="12800" width="9" style="32"/>
    <col min="12801" max="12801" width="3.875" style="32" bestFit="1" customWidth="1"/>
    <col min="12802" max="12806" width="17.375" style="32" customWidth="1"/>
    <col min="12807" max="12809" width="15.625" style="32" customWidth="1"/>
    <col min="12810" max="12810" width="10.75" style="32" customWidth="1"/>
    <col min="12811" max="12812" width="0" style="32" hidden="1" customWidth="1"/>
    <col min="12813" max="12813" width="9.375" style="32" customWidth="1"/>
    <col min="12814" max="12814" width="10" style="32" customWidth="1"/>
    <col min="12815" max="12815" width="9" style="32"/>
    <col min="12816" max="12816" width="6" style="32" customWidth="1"/>
    <col min="12817" max="13056" width="9" style="32"/>
    <col min="13057" max="13057" width="3.875" style="32" bestFit="1" customWidth="1"/>
    <col min="13058" max="13062" width="17.375" style="32" customWidth="1"/>
    <col min="13063" max="13065" width="15.625" style="32" customWidth="1"/>
    <col min="13066" max="13066" width="10.75" style="32" customWidth="1"/>
    <col min="13067" max="13068" width="0" style="32" hidden="1" customWidth="1"/>
    <col min="13069" max="13069" width="9.375" style="32" customWidth="1"/>
    <col min="13070" max="13070" width="10" style="32" customWidth="1"/>
    <col min="13071" max="13071" width="9" style="32"/>
    <col min="13072" max="13072" width="6" style="32" customWidth="1"/>
    <col min="13073" max="13312" width="9" style="32"/>
    <col min="13313" max="13313" width="3.875" style="32" bestFit="1" customWidth="1"/>
    <col min="13314" max="13318" width="17.375" style="32" customWidth="1"/>
    <col min="13319" max="13321" width="15.625" style="32" customWidth="1"/>
    <col min="13322" max="13322" width="10.75" style="32" customWidth="1"/>
    <col min="13323" max="13324" width="0" style="32" hidden="1" customWidth="1"/>
    <col min="13325" max="13325" width="9.375" style="32" customWidth="1"/>
    <col min="13326" max="13326" width="10" style="32" customWidth="1"/>
    <col min="13327" max="13327" width="9" style="32"/>
    <col min="13328" max="13328" width="6" style="32" customWidth="1"/>
    <col min="13329" max="13568" width="9" style="32"/>
    <col min="13569" max="13569" width="3.875" style="32" bestFit="1" customWidth="1"/>
    <col min="13570" max="13574" width="17.375" style="32" customWidth="1"/>
    <col min="13575" max="13577" width="15.625" style="32" customWidth="1"/>
    <col min="13578" max="13578" width="10.75" style="32" customWidth="1"/>
    <col min="13579" max="13580" width="0" style="32" hidden="1" customWidth="1"/>
    <col min="13581" max="13581" width="9.375" style="32" customWidth="1"/>
    <col min="13582" max="13582" width="10" style="32" customWidth="1"/>
    <col min="13583" max="13583" width="9" style="32"/>
    <col min="13584" max="13584" width="6" style="32" customWidth="1"/>
    <col min="13585" max="13824" width="9" style="32"/>
    <col min="13825" max="13825" width="3.875" style="32" bestFit="1" customWidth="1"/>
    <col min="13826" max="13830" width="17.375" style="32" customWidth="1"/>
    <col min="13831" max="13833" width="15.625" style="32" customWidth="1"/>
    <col min="13834" max="13834" width="10.75" style="32" customWidth="1"/>
    <col min="13835" max="13836" width="0" style="32" hidden="1" customWidth="1"/>
    <col min="13837" max="13837" width="9.375" style="32" customWidth="1"/>
    <col min="13838" max="13838" width="10" style="32" customWidth="1"/>
    <col min="13839" max="13839" width="9" style="32"/>
    <col min="13840" max="13840" width="6" style="32" customWidth="1"/>
    <col min="13841" max="14080" width="9" style="32"/>
    <col min="14081" max="14081" width="3.875" style="32" bestFit="1" customWidth="1"/>
    <col min="14082" max="14086" width="17.375" style="32" customWidth="1"/>
    <col min="14087" max="14089" width="15.625" style="32" customWidth="1"/>
    <col min="14090" max="14090" width="10.75" style="32" customWidth="1"/>
    <col min="14091" max="14092" width="0" style="32" hidden="1" customWidth="1"/>
    <col min="14093" max="14093" width="9.375" style="32" customWidth="1"/>
    <col min="14094" max="14094" width="10" style="32" customWidth="1"/>
    <col min="14095" max="14095" width="9" style="32"/>
    <col min="14096" max="14096" width="6" style="32" customWidth="1"/>
    <col min="14097" max="14336" width="9" style="32"/>
    <col min="14337" max="14337" width="3.875" style="32" bestFit="1" customWidth="1"/>
    <col min="14338" max="14342" width="17.375" style="32" customWidth="1"/>
    <col min="14343" max="14345" width="15.625" style="32" customWidth="1"/>
    <col min="14346" max="14346" width="10.75" style="32" customWidth="1"/>
    <col min="14347" max="14348" width="0" style="32" hidden="1" customWidth="1"/>
    <col min="14349" max="14349" width="9.375" style="32" customWidth="1"/>
    <col min="14350" max="14350" width="10" style="32" customWidth="1"/>
    <col min="14351" max="14351" width="9" style="32"/>
    <col min="14352" max="14352" width="6" style="32" customWidth="1"/>
    <col min="14353" max="14592" width="9" style="32"/>
    <col min="14593" max="14593" width="3.875" style="32" bestFit="1" customWidth="1"/>
    <col min="14594" max="14598" width="17.375" style="32" customWidth="1"/>
    <col min="14599" max="14601" width="15.625" style="32" customWidth="1"/>
    <col min="14602" max="14602" width="10.75" style="32" customWidth="1"/>
    <col min="14603" max="14604" width="0" style="32" hidden="1" customWidth="1"/>
    <col min="14605" max="14605" width="9.375" style="32" customWidth="1"/>
    <col min="14606" max="14606" width="10" style="32" customWidth="1"/>
    <col min="14607" max="14607" width="9" style="32"/>
    <col min="14608" max="14608" width="6" style="32" customWidth="1"/>
    <col min="14609" max="14848" width="9" style="32"/>
    <col min="14849" max="14849" width="3.875" style="32" bestFit="1" customWidth="1"/>
    <col min="14850" max="14854" width="17.375" style="32" customWidth="1"/>
    <col min="14855" max="14857" width="15.625" style="32" customWidth="1"/>
    <col min="14858" max="14858" width="10.75" style="32" customWidth="1"/>
    <col min="14859" max="14860" width="0" style="32" hidden="1" customWidth="1"/>
    <col min="14861" max="14861" width="9.375" style="32" customWidth="1"/>
    <col min="14862" max="14862" width="10" style="32" customWidth="1"/>
    <col min="14863" max="14863" width="9" style="32"/>
    <col min="14864" max="14864" width="6" style="32" customWidth="1"/>
    <col min="14865" max="15104" width="9" style="32"/>
    <col min="15105" max="15105" width="3.875" style="32" bestFit="1" customWidth="1"/>
    <col min="15106" max="15110" width="17.375" style="32" customWidth="1"/>
    <col min="15111" max="15113" width="15.625" style="32" customWidth="1"/>
    <col min="15114" max="15114" width="10.75" style="32" customWidth="1"/>
    <col min="15115" max="15116" width="0" style="32" hidden="1" customWidth="1"/>
    <col min="15117" max="15117" width="9.375" style="32" customWidth="1"/>
    <col min="15118" max="15118" width="10" style="32" customWidth="1"/>
    <col min="15119" max="15119" width="9" style="32"/>
    <col min="15120" max="15120" width="6" style="32" customWidth="1"/>
    <col min="15121" max="15360" width="9" style="32"/>
    <col min="15361" max="15361" width="3.875" style="32" bestFit="1" customWidth="1"/>
    <col min="15362" max="15366" width="17.375" style="32" customWidth="1"/>
    <col min="15367" max="15369" width="15.625" style="32" customWidth="1"/>
    <col min="15370" max="15370" width="10.75" style="32" customWidth="1"/>
    <col min="15371" max="15372" width="0" style="32" hidden="1" customWidth="1"/>
    <col min="15373" max="15373" width="9.375" style="32" customWidth="1"/>
    <col min="15374" max="15374" width="10" style="32" customWidth="1"/>
    <col min="15375" max="15375" width="9" style="32"/>
    <col min="15376" max="15376" width="6" style="32" customWidth="1"/>
    <col min="15377" max="15616" width="9" style="32"/>
    <col min="15617" max="15617" width="3.875" style="32" bestFit="1" customWidth="1"/>
    <col min="15618" max="15622" width="17.375" style="32" customWidth="1"/>
    <col min="15623" max="15625" width="15.625" style="32" customWidth="1"/>
    <col min="15626" max="15626" width="10.75" style="32" customWidth="1"/>
    <col min="15627" max="15628" width="0" style="32" hidden="1" customWidth="1"/>
    <col min="15629" max="15629" width="9.375" style="32" customWidth="1"/>
    <col min="15630" max="15630" width="10" style="32" customWidth="1"/>
    <col min="15631" max="15631" width="9" style="32"/>
    <col min="15632" max="15632" width="6" style="32" customWidth="1"/>
    <col min="15633" max="15872" width="9" style="32"/>
    <col min="15873" max="15873" width="3.875" style="32" bestFit="1" customWidth="1"/>
    <col min="15874" max="15878" width="17.375" style="32" customWidth="1"/>
    <col min="15879" max="15881" width="15.625" style="32" customWidth="1"/>
    <col min="15882" max="15882" width="10.75" style="32" customWidth="1"/>
    <col min="15883" max="15884" width="0" style="32" hidden="1" customWidth="1"/>
    <col min="15885" max="15885" width="9.375" style="32" customWidth="1"/>
    <col min="15886" max="15886" width="10" style="32" customWidth="1"/>
    <col min="15887" max="15887" width="9" style="32"/>
    <col min="15888" max="15888" width="6" style="32" customWidth="1"/>
    <col min="15889" max="16128" width="9" style="32"/>
    <col min="16129" max="16129" width="3.875" style="32" bestFit="1" customWidth="1"/>
    <col min="16130" max="16134" width="17.375" style="32" customWidth="1"/>
    <col min="16135" max="16137" width="15.625" style="32" customWidth="1"/>
    <col min="16138" max="16138" width="10.75" style="32" customWidth="1"/>
    <col min="16139" max="16140" width="0" style="32" hidden="1" customWidth="1"/>
    <col min="16141" max="16141" width="9.375" style="32" customWidth="1"/>
    <col min="16142" max="16142" width="10" style="32" customWidth="1"/>
    <col min="16143" max="16143" width="9" style="32"/>
    <col min="16144" max="16144" width="6" style="32" customWidth="1"/>
    <col min="16145" max="16384" width="9" style="32"/>
  </cols>
  <sheetData>
    <row r="1" spans="1:13" ht="35.25" x14ac:dyDescent="0.15">
      <c r="B1" s="174" t="s">
        <v>134</v>
      </c>
      <c r="C1" s="174"/>
      <c r="D1" s="174"/>
      <c r="E1" s="174"/>
    </row>
    <row r="2" spans="1:13" ht="7.5" customHeight="1" x14ac:dyDescent="0.15"/>
    <row r="3" spans="1:13" ht="22.5" customHeight="1" x14ac:dyDescent="0.15">
      <c r="A3" s="33" t="s">
        <v>39</v>
      </c>
      <c r="B3" s="34" t="s">
        <v>69</v>
      </c>
      <c r="C3" s="35"/>
      <c r="D3" s="35"/>
      <c r="E3" s="35"/>
      <c r="F3" s="35"/>
      <c r="G3" s="35"/>
      <c r="H3" s="35"/>
      <c r="I3" s="35"/>
      <c r="J3" s="35"/>
    </row>
    <row r="4" spans="1:13" ht="26.25" customHeight="1" x14ac:dyDescent="0.15">
      <c r="A4" s="36"/>
      <c r="B4" s="37"/>
      <c r="C4" s="38" t="s">
        <v>13</v>
      </c>
      <c r="D4" s="38" t="s">
        <v>14</v>
      </c>
      <c r="E4" s="38" t="s">
        <v>115</v>
      </c>
      <c r="F4" s="38" t="s">
        <v>116</v>
      </c>
      <c r="G4" s="38" t="s">
        <v>117</v>
      </c>
      <c r="H4" s="148" t="s">
        <v>123</v>
      </c>
      <c r="I4" s="141" t="s">
        <v>118</v>
      </c>
      <c r="K4" s="39" t="s">
        <v>15</v>
      </c>
      <c r="L4" s="39" t="s">
        <v>16</v>
      </c>
      <c r="M4" s="39" t="s">
        <v>128</v>
      </c>
    </row>
    <row r="5" spans="1:13" ht="26.25" customHeight="1" x14ac:dyDescent="0.15">
      <c r="A5" s="36"/>
      <c r="B5" s="37">
        <v>1</v>
      </c>
      <c r="C5" s="139"/>
      <c r="D5" s="140"/>
      <c r="E5" s="151"/>
      <c r="F5" s="151"/>
      <c r="G5" s="161"/>
      <c r="H5" s="149">
        <f>IF(AND(E5&lt;&gt;"",F5&lt;&gt;""),MAX(MIN(E5,100000)+MIN(F5,100000)-100000,0),0)</f>
        <v>0</v>
      </c>
      <c r="I5" s="146">
        <f>IFERROR(IF(E5+F5+G5-H5&gt;0,E5+F5+G5-H5,0),"")</f>
        <v>0</v>
      </c>
      <c r="J5" s="40" t="str">
        <f>IF(COUNTA(C5:G5)=0,"",((IF(AND(C5&lt;&gt;"",D5&lt;&gt;""),"OK","すべて入力してください"))))</f>
        <v/>
      </c>
      <c r="K5" s="41" t="str">
        <f t="shared" ref="K5:K12" si="0">IF(C5="","",IF((I5-430000)&lt;0,0,IF(I5&lt;=24000000,I5-430000,IF(AND(I5&gt;24000000,I5&lt;=24500000),I5-290000,IF(AND(I5&gt;24500000,I5&lt;=25000000),I5-150000,I5)))))</f>
        <v/>
      </c>
      <c r="L5" s="39" t="str">
        <f t="shared" ref="L5:L12" si="1">IF(D5="","",IF(AND(D5&gt;=40,D5&lt;65),"該当","非該当"))</f>
        <v/>
      </c>
      <c r="M5" s="164">
        <f>IF(AND(D5&gt;=65,F5&gt;0),MIN(F5,150000),0)</f>
        <v>0</v>
      </c>
    </row>
    <row r="6" spans="1:13" ht="26.25" customHeight="1" x14ac:dyDescent="0.15">
      <c r="A6" s="36"/>
      <c r="B6" s="37">
        <v>2</v>
      </c>
      <c r="C6" s="139"/>
      <c r="D6" s="140"/>
      <c r="E6" s="151"/>
      <c r="F6" s="151"/>
      <c r="G6" s="161"/>
      <c r="H6" s="149">
        <f>IF(AND(E6&lt;&gt;"",F6&lt;&gt;""),MAX(MIN(E6,100000)+MIN(F6,100000)-100000,0),0)</f>
        <v>0</v>
      </c>
      <c r="I6" s="146">
        <f t="shared" ref="I6:I12" si="2">IFERROR(IF(E6+F6+G6-H6&gt;0,E6+F6+G6-H6,0),"")</f>
        <v>0</v>
      </c>
      <c r="J6" s="40" t="str">
        <f t="shared" ref="J6:J12" si="3">IF(COUNTA(C6:G6)=0,"",((IF(AND(C6&lt;&gt;"",D6&lt;&gt;""),"OK","すべて入力してください"))))</f>
        <v/>
      </c>
      <c r="K6" s="142" t="str">
        <f t="shared" si="0"/>
        <v/>
      </c>
      <c r="L6" s="39" t="str">
        <f t="shared" si="1"/>
        <v/>
      </c>
      <c r="M6" s="164">
        <f>IF(AND(D6&gt;=65,F6&gt;0),MIN(F6,150000),0)</f>
        <v>0</v>
      </c>
    </row>
    <row r="7" spans="1:13" ht="26.25" customHeight="1" x14ac:dyDescent="0.15">
      <c r="A7" s="36"/>
      <c r="B7" s="37">
        <v>3</v>
      </c>
      <c r="C7" s="139"/>
      <c r="D7" s="140"/>
      <c r="E7" s="151"/>
      <c r="F7" s="151"/>
      <c r="G7" s="161"/>
      <c r="H7" s="149">
        <f t="shared" ref="H7:H12" si="4">IF(AND(E7&lt;&gt;"",F7&lt;&gt;""),MAX(MIN(E7,100000)+MIN(F7,100000)-100000,0),0)</f>
        <v>0</v>
      </c>
      <c r="I7" s="146">
        <f t="shared" si="2"/>
        <v>0</v>
      </c>
      <c r="J7" s="40" t="str">
        <f t="shared" si="3"/>
        <v/>
      </c>
      <c r="K7" s="142" t="str">
        <f t="shared" si="0"/>
        <v/>
      </c>
      <c r="L7" s="39" t="str">
        <f t="shared" si="1"/>
        <v/>
      </c>
      <c r="M7" s="164">
        <f t="shared" ref="M7:M12" si="5">IF(AND(D7&gt;65,F7&gt;0),MIN(F7,150000),0)</f>
        <v>0</v>
      </c>
    </row>
    <row r="8" spans="1:13" ht="26.25" customHeight="1" x14ac:dyDescent="0.15">
      <c r="A8" s="36"/>
      <c r="B8" s="37">
        <v>4</v>
      </c>
      <c r="C8" s="139"/>
      <c r="D8" s="140"/>
      <c r="E8" s="151"/>
      <c r="F8" s="151"/>
      <c r="G8" s="161"/>
      <c r="H8" s="149">
        <f t="shared" si="4"/>
        <v>0</v>
      </c>
      <c r="I8" s="146">
        <f t="shared" si="2"/>
        <v>0</v>
      </c>
      <c r="J8" s="40" t="str">
        <f t="shared" si="3"/>
        <v/>
      </c>
      <c r="K8" s="142" t="str">
        <f t="shared" si="0"/>
        <v/>
      </c>
      <c r="L8" s="39" t="str">
        <f t="shared" si="1"/>
        <v/>
      </c>
      <c r="M8" s="164">
        <f t="shared" si="5"/>
        <v>0</v>
      </c>
    </row>
    <row r="9" spans="1:13" ht="26.25" customHeight="1" x14ac:dyDescent="0.15">
      <c r="A9" s="36"/>
      <c r="B9" s="37">
        <v>5</v>
      </c>
      <c r="C9" s="139"/>
      <c r="D9" s="140"/>
      <c r="E9" s="151"/>
      <c r="F9" s="151"/>
      <c r="G9" s="161"/>
      <c r="H9" s="149">
        <f t="shared" si="4"/>
        <v>0</v>
      </c>
      <c r="I9" s="146">
        <f t="shared" si="2"/>
        <v>0</v>
      </c>
      <c r="J9" s="40" t="str">
        <f t="shared" si="3"/>
        <v/>
      </c>
      <c r="K9" s="142" t="str">
        <f t="shared" si="0"/>
        <v/>
      </c>
      <c r="L9" s="39" t="str">
        <f t="shared" si="1"/>
        <v/>
      </c>
      <c r="M9" s="164">
        <f t="shared" si="5"/>
        <v>0</v>
      </c>
    </row>
    <row r="10" spans="1:13" ht="26.25" customHeight="1" x14ac:dyDescent="0.15">
      <c r="A10" s="36"/>
      <c r="B10" s="37">
        <v>6</v>
      </c>
      <c r="C10" s="139"/>
      <c r="D10" s="140"/>
      <c r="E10" s="151"/>
      <c r="F10" s="151"/>
      <c r="G10" s="161"/>
      <c r="H10" s="149">
        <f t="shared" si="4"/>
        <v>0</v>
      </c>
      <c r="I10" s="146">
        <f t="shared" si="2"/>
        <v>0</v>
      </c>
      <c r="J10" s="40" t="str">
        <f t="shared" si="3"/>
        <v/>
      </c>
      <c r="K10" s="142" t="str">
        <f t="shared" si="0"/>
        <v/>
      </c>
      <c r="L10" s="39" t="str">
        <f t="shared" si="1"/>
        <v/>
      </c>
      <c r="M10" s="164">
        <f t="shared" si="5"/>
        <v>0</v>
      </c>
    </row>
    <row r="11" spans="1:13" ht="26.25" customHeight="1" x14ac:dyDescent="0.15">
      <c r="A11" s="36"/>
      <c r="B11" s="37">
        <v>7</v>
      </c>
      <c r="C11" s="139"/>
      <c r="D11" s="140"/>
      <c r="E11" s="151"/>
      <c r="F11" s="159"/>
      <c r="G11" s="161"/>
      <c r="H11" s="149">
        <f t="shared" si="4"/>
        <v>0</v>
      </c>
      <c r="I11" s="146">
        <f t="shared" si="2"/>
        <v>0</v>
      </c>
      <c r="J11" s="40" t="str">
        <f t="shared" si="3"/>
        <v/>
      </c>
      <c r="K11" s="142" t="str">
        <f t="shared" si="0"/>
        <v/>
      </c>
      <c r="L11" s="39" t="str">
        <f t="shared" si="1"/>
        <v/>
      </c>
      <c r="M11" s="164">
        <f t="shared" si="5"/>
        <v>0</v>
      </c>
    </row>
    <row r="12" spans="1:13" ht="26.25" customHeight="1" x14ac:dyDescent="0.15">
      <c r="A12" s="36"/>
      <c r="B12" s="37">
        <v>8</v>
      </c>
      <c r="C12" s="139"/>
      <c r="D12" s="140"/>
      <c r="E12" s="151"/>
      <c r="F12" s="151"/>
      <c r="G12" s="161"/>
      <c r="H12" s="149">
        <f t="shared" si="4"/>
        <v>0</v>
      </c>
      <c r="I12" s="146">
        <f t="shared" si="2"/>
        <v>0</v>
      </c>
      <c r="J12" s="40" t="str">
        <f t="shared" si="3"/>
        <v/>
      </c>
      <c r="K12" s="142" t="str">
        <f t="shared" si="0"/>
        <v/>
      </c>
      <c r="L12" s="39" t="str">
        <f t="shared" si="1"/>
        <v/>
      </c>
      <c r="M12" s="164">
        <f t="shared" si="5"/>
        <v>0</v>
      </c>
    </row>
    <row r="13" spans="1:13" ht="7.5" customHeight="1" x14ac:dyDescent="0.15">
      <c r="A13" s="36"/>
      <c r="B13" s="35"/>
      <c r="C13" s="35"/>
      <c r="D13" s="35"/>
      <c r="E13" s="35"/>
      <c r="F13" s="35"/>
      <c r="G13" s="35"/>
      <c r="H13" s="35"/>
      <c r="I13" s="35"/>
      <c r="J13" s="35"/>
    </row>
    <row r="14" spans="1:13" ht="22.5" customHeight="1" x14ac:dyDescent="0.15">
      <c r="A14" s="33" t="s">
        <v>40</v>
      </c>
      <c r="B14" s="34" t="s">
        <v>17</v>
      </c>
      <c r="C14" s="35"/>
      <c r="D14" s="35"/>
      <c r="E14" s="35"/>
      <c r="F14" s="35"/>
      <c r="G14" s="35"/>
      <c r="H14" s="35"/>
      <c r="I14" s="35"/>
      <c r="J14" s="35"/>
      <c r="K14" s="42"/>
      <c r="L14" s="42"/>
    </row>
    <row r="15" spans="1:13" ht="22.5" customHeight="1" x14ac:dyDescent="0.15">
      <c r="A15" s="36"/>
      <c r="B15" s="160"/>
      <c r="C15" s="40" t="str">
        <f>IF(AND(F5="OK",B15=""),"入力してください",(IF(B15=1,"「はい」　算定結果を確認してください",IF(B15=2,"「いいえ」　Q３を入力してください",""))))</f>
        <v/>
      </c>
      <c r="D15" s="35"/>
      <c r="E15" s="35"/>
      <c r="F15" s="35"/>
      <c r="G15" s="35"/>
      <c r="H15" s="35"/>
      <c r="I15" s="35"/>
      <c r="J15" s="35"/>
      <c r="K15" s="42"/>
      <c r="L15" s="42"/>
    </row>
    <row r="16" spans="1:13" ht="19.5" x14ac:dyDescent="0.15">
      <c r="A16" s="36"/>
      <c r="B16" s="35"/>
      <c r="C16" s="35"/>
      <c r="D16" s="35"/>
      <c r="E16" s="35"/>
      <c r="F16" s="35"/>
      <c r="G16" s="35"/>
      <c r="H16" s="35"/>
      <c r="I16" s="35"/>
      <c r="J16" s="35"/>
      <c r="K16" s="42"/>
      <c r="L16" s="42"/>
    </row>
    <row r="17" spans="1:17" ht="22.5" customHeight="1" x14ac:dyDescent="0.15">
      <c r="A17" s="33" t="s">
        <v>18</v>
      </c>
      <c r="B17" s="34" t="s">
        <v>41</v>
      </c>
      <c r="C17" s="35"/>
      <c r="D17" s="35"/>
      <c r="E17" s="35"/>
      <c r="F17" s="35"/>
    </row>
    <row r="18" spans="1:17" ht="22.5" customHeight="1" x14ac:dyDescent="0.15">
      <c r="A18" s="35"/>
      <c r="B18" s="37" t="s">
        <v>42</v>
      </c>
      <c r="C18" s="157"/>
      <c r="D18" s="150"/>
      <c r="E18" s="40" t="str">
        <f>IF(B15="","",IF(B15=1,"入力しないでください",IF(D18&lt;&gt;"","算定結果を確認してください","入力してください")))</f>
        <v/>
      </c>
      <c r="F18" s="35"/>
      <c r="G18" s="152" t="str">
        <f>IF(AND(OR(C18="給与",C18="年金(65歳以上)",C18="年金(65歳未満)"),D18&gt;0),1,"0")</f>
        <v>0</v>
      </c>
      <c r="M18" s="39">
        <f>IF(AND(C18="年金(65歳以上)",D18&gt;0),MIN(D18,150000),0)</f>
        <v>0</v>
      </c>
    </row>
    <row r="19" spans="1:17" ht="13.5" customHeight="1" x14ac:dyDescent="0.15">
      <c r="A19" s="35"/>
      <c r="B19" s="43"/>
      <c r="C19" s="43"/>
      <c r="D19" s="35"/>
      <c r="E19" s="35"/>
      <c r="M19" s="165">
        <f>SUM(M5:M12)+M18</f>
        <v>0</v>
      </c>
    </row>
    <row r="20" spans="1:17" ht="13.5" customHeight="1" thickBot="1" x14ac:dyDescent="0.2">
      <c r="A20" s="35"/>
      <c r="B20" s="43"/>
      <c r="C20" s="43"/>
      <c r="D20" s="35"/>
      <c r="E20" s="35"/>
      <c r="F20" s="35"/>
    </row>
    <row r="21" spans="1:17" ht="28.5" x14ac:dyDescent="0.15">
      <c r="A21" s="44"/>
      <c r="B21" s="45" t="s">
        <v>19</v>
      </c>
      <c r="C21" s="46"/>
      <c r="D21" s="143"/>
      <c r="E21" s="46"/>
      <c r="F21" s="46"/>
      <c r="G21" s="47"/>
      <c r="H21" s="47"/>
      <c r="I21" s="47"/>
      <c r="J21" s="48"/>
    </row>
    <row r="22" spans="1:17" ht="26.25" customHeight="1" x14ac:dyDescent="0.15">
      <c r="A22" s="49"/>
      <c r="B22" s="50" t="s">
        <v>43</v>
      </c>
      <c r="C22" s="51">
        <f>IF(COUNTA(I5:I12)=0,"",SUM(I5:I12)+D18-M19)</f>
        <v>0</v>
      </c>
      <c r="D22" s="52"/>
      <c r="E22" s="52"/>
      <c r="F22" s="147" t="s">
        <v>120</v>
      </c>
      <c r="G22" s="145"/>
      <c r="H22" s="53"/>
      <c r="I22" s="53"/>
      <c r="J22" s="54"/>
    </row>
    <row r="23" spans="1:17" ht="26.25" customHeight="1" x14ac:dyDescent="0.15">
      <c r="A23" s="49"/>
      <c r="B23" s="50" t="s">
        <v>25</v>
      </c>
      <c r="C23" s="55" t="str">
        <f>IF(C5="","",IF(C22&lt;=C26+(H23-1)*100000,B26,IF(C22&lt;=(C26+C27*C33+(H23-1)*100000),B27,IF(C22&lt;=(C26+C28*C33+(H23-1)*100000),B28,"軽減なし"))))</f>
        <v/>
      </c>
      <c r="D23" s="52"/>
      <c r="E23" s="52"/>
      <c r="F23" s="144" t="s">
        <v>119</v>
      </c>
      <c r="G23" s="155">
        <f>COUNTIF(E5:E12,"&gt;0")+COUNTIFS(F5:F12,"&gt;0",E5:E12,"")+COUNTIFS(F5:F12,"&gt;0",E5:E12,"=0")+G18</f>
        <v>0</v>
      </c>
      <c r="H23" s="173">
        <f>IF(G23=0,1,G23)</f>
        <v>1</v>
      </c>
      <c r="I23" s="167"/>
      <c r="J23" s="54"/>
    </row>
    <row r="24" spans="1:17" ht="26.25" customHeight="1" x14ac:dyDescent="0.15">
      <c r="A24" s="49"/>
      <c r="B24" s="52"/>
      <c r="C24" s="56"/>
      <c r="D24" s="52"/>
      <c r="E24" s="52"/>
      <c r="F24" s="52"/>
      <c r="G24" s="57"/>
      <c r="H24" s="52"/>
      <c r="I24" s="52"/>
      <c r="J24" s="58"/>
      <c r="K24" s="59"/>
      <c r="L24" s="59"/>
      <c r="M24" s="59"/>
      <c r="N24" s="59"/>
      <c r="O24" s="59"/>
      <c r="P24" s="59"/>
    </row>
    <row r="25" spans="1:17" ht="26.25" customHeight="1" x14ac:dyDescent="0.15">
      <c r="A25" s="49"/>
      <c r="B25" s="60" t="s">
        <v>44</v>
      </c>
      <c r="C25" s="183" t="s">
        <v>45</v>
      </c>
      <c r="D25" s="183"/>
      <c r="E25" s="183"/>
      <c r="F25" s="183"/>
      <c r="G25" s="183"/>
      <c r="H25" s="183"/>
      <c r="I25" s="183"/>
      <c r="J25" s="54"/>
      <c r="K25" s="59"/>
      <c r="L25" s="59"/>
    </row>
    <row r="26" spans="1:17" ht="26.25" customHeight="1" x14ac:dyDescent="0.15">
      <c r="A26" s="49"/>
      <c r="B26" s="60" t="s">
        <v>46</v>
      </c>
      <c r="C26" s="181">
        <v>430000</v>
      </c>
      <c r="D26" s="181"/>
      <c r="E26" s="181"/>
      <c r="F26" s="181"/>
      <c r="G26" s="181"/>
      <c r="H26" s="181"/>
      <c r="I26" s="181"/>
      <c r="J26" s="54"/>
    </row>
    <row r="27" spans="1:17" ht="26.25" customHeight="1" x14ac:dyDescent="0.15">
      <c r="A27" s="61"/>
      <c r="B27" s="60" t="s">
        <v>47</v>
      </c>
      <c r="C27" s="182">
        <v>295000</v>
      </c>
      <c r="D27" s="182"/>
      <c r="E27" s="182"/>
      <c r="F27" s="182"/>
      <c r="G27" s="182"/>
      <c r="H27" s="182"/>
      <c r="I27" s="182"/>
      <c r="J27" s="54"/>
    </row>
    <row r="28" spans="1:17" ht="26.25" customHeight="1" x14ac:dyDescent="0.15">
      <c r="A28" s="49"/>
      <c r="B28" s="60" t="s">
        <v>48</v>
      </c>
      <c r="C28" s="182">
        <v>545000</v>
      </c>
      <c r="D28" s="182"/>
      <c r="E28" s="182"/>
      <c r="F28" s="182"/>
      <c r="G28" s="182"/>
      <c r="H28" s="182"/>
      <c r="I28" s="182"/>
      <c r="J28" s="54"/>
    </row>
    <row r="29" spans="1:17" ht="20.25" customHeight="1" x14ac:dyDescent="0.45">
      <c r="A29" s="49"/>
      <c r="B29" s="62" t="s">
        <v>124</v>
      </c>
      <c r="C29" s="52"/>
      <c r="D29" s="52"/>
      <c r="E29" s="52"/>
      <c r="F29" s="53"/>
      <c r="G29" s="53"/>
      <c r="H29" s="53"/>
      <c r="I29" s="53"/>
      <c r="J29" s="54"/>
      <c r="K29" s="59"/>
    </row>
    <row r="30" spans="1:17" ht="20.25" customHeight="1" x14ac:dyDescent="0.15">
      <c r="A30" s="49"/>
      <c r="B30" s="57" t="s">
        <v>130</v>
      </c>
      <c r="C30" s="52"/>
      <c r="D30" s="52"/>
      <c r="E30" s="52"/>
      <c r="F30" s="53"/>
      <c r="G30" s="53"/>
      <c r="H30" s="53"/>
      <c r="I30" s="53"/>
      <c r="J30" s="54"/>
      <c r="K30" s="59"/>
      <c r="L30" s="59"/>
      <c r="M30" s="59"/>
      <c r="N30" s="59"/>
      <c r="O30" s="59"/>
      <c r="P30" s="59"/>
    </row>
    <row r="31" spans="1:17" ht="26.25" customHeight="1" x14ac:dyDescent="0.15">
      <c r="A31" s="49"/>
      <c r="B31" s="52"/>
      <c r="C31" s="52"/>
      <c r="D31" s="52"/>
      <c r="E31" s="52"/>
      <c r="F31" s="52"/>
      <c r="G31" s="53"/>
      <c r="H31" s="53"/>
      <c r="I31" s="53"/>
      <c r="J31" s="54"/>
      <c r="L31" s="59"/>
      <c r="M31" s="59"/>
      <c r="N31" s="59"/>
      <c r="O31" s="59"/>
      <c r="P31" s="59"/>
    </row>
    <row r="32" spans="1:17" ht="26.25" customHeight="1" x14ac:dyDescent="0.15">
      <c r="A32" s="49"/>
      <c r="B32" s="60"/>
      <c r="C32" s="60" t="s">
        <v>20</v>
      </c>
      <c r="D32" s="162" t="s">
        <v>132</v>
      </c>
      <c r="E32" s="60" t="s">
        <v>21</v>
      </c>
      <c r="F32" s="52"/>
      <c r="G32" s="53"/>
      <c r="H32" s="53"/>
      <c r="I32" s="53"/>
      <c r="J32" s="54"/>
      <c r="K32" s="59"/>
      <c r="M32" s="59"/>
      <c r="N32" s="59"/>
      <c r="O32" s="59"/>
      <c r="P32" s="59"/>
      <c r="Q32" s="59"/>
    </row>
    <row r="33" spans="1:17" ht="26.25" customHeight="1" x14ac:dyDescent="0.15">
      <c r="A33" s="49"/>
      <c r="B33" s="50" t="s">
        <v>22</v>
      </c>
      <c r="C33" s="50">
        <f>COUNTA(D5:D12)</f>
        <v>0</v>
      </c>
      <c r="D33" s="144">
        <f>COUNTIF(D5:D12,"&lt;6")</f>
        <v>0</v>
      </c>
      <c r="E33" s="51">
        <f>SUM(K5:K12)</f>
        <v>0</v>
      </c>
      <c r="F33" s="138"/>
      <c r="G33" s="53"/>
      <c r="H33" s="53"/>
      <c r="I33" s="53"/>
      <c r="J33" s="54"/>
      <c r="K33" s="59"/>
      <c r="M33" s="59"/>
      <c r="N33" s="59"/>
      <c r="O33" s="59"/>
      <c r="P33" s="59"/>
      <c r="Q33" s="59"/>
    </row>
    <row r="34" spans="1:17" ht="26.25" customHeight="1" x14ac:dyDescent="0.15">
      <c r="A34" s="49"/>
      <c r="B34" s="50" t="s">
        <v>23</v>
      </c>
      <c r="C34" s="50">
        <f>C33</f>
        <v>0</v>
      </c>
      <c r="D34" s="144">
        <f>D33</f>
        <v>0</v>
      </c>
      <c r="E34" s="63">
        <f>E33</f>
        <v>0</v>
      </c>
      <c r="F34" s="52"/>
      <c r="G34" s="53"/>
      <c r="H34" s="53"/>
      <c r="I34" s="53"/>
      <c r="J34" s="54"/>
      <c r="K34" s="59"/>
      <c r="M34" s="59"/>
      <c r="N34" s="59"/>
      <c r="O34" s="59"/>
      <c r="P34" s="59"/>
      <c r="Q34" s="59"/>
    </row>
    <row r="35" spans="1:17" ht="26.25" customHeight="1" x14ac:dyDescent="0.15">
      <c r="A35" s="49"/>
      <c r="B35" s="64" t="s">
        <v>24</v>
      </c>
      <c r="C35" s="50">
        <f>COUNTIF(D5:D12,"&gt;=40")-COUNTIF(D5:D12,"&gt;64")</f>
        <v>0</v>
      </c>
      <c r="D35" s="144">
        <v>0</v>
      </c>
      <c r="E35" s="63">
        <f>SUMIF(L5:L12,"該当",K5:K12)</f>
        <v>0</v>
      </c>
      <c r="F35" s="52"/>
      <c r="G35" s="53"/>
      <c r="H35" s="52"/>
      <c r="I35" s="52"/>
      <c r="J35" s="58"/>
      <c r="K35" s="163"/>
      <c r="L35" s="59"/>
      <c r="M35" s="59"/>
      <c r="N35" s="59"/>
      <c r="O35" s="59"/>
      <c r="P35" s="59"/>
      <c r="Q35" s="59"/>
    </row>
    <row r="36" spans="1:17" ht="26.25" customHeight="1" x14ac:dyDescent="0.15">
      <c r="A36" s="49"/>
      <c r="B36" s="52"/>
      <c r="C36" s="52"/>
      <c r="D36" s="52"/>
      <c r="E36" s="52"/>
      <c r="F36" s="52"/>
      <c r="G36" s="52" t="s">
        <v>26</v>
      </c>
      <c r="H36" s="52"/>
      <c r="I36" s="52"/>
      <c r="J36" s="58"/>
      <c r="K36" s="59"/>
      <c r="L36" s="59"/>
      <c r="M36" s="59"/>
      <c r="N36" s="59"/>
      <c r="O36" s="59"/>
      <c r="P36" s="59"/>
    </row>
    <row r="37" spans="1:17" ht="26.25" customHeight="1" x14ac:dyDescent="0.15">
      <c r="A37" s="49"/>
      <c r="B37" s="60" t="s">
        <v>27</v>
      </c>
      <c r="C37" s="60" t="s">
        <v>22</v>
      </c>
      <c r="D37" s="60" t="s">
        <v>23</v>
      </c>
      <c r="E37" s="60" t="s">
        <v>24</v>
      </c>
      <c r="F37" s="52"/>
      <c r="G37" s="60" t="s">
        <v>22</v>
      </c>
      <c r="H37" s="60" t="s">
        <v>23</v>
      </c>
      <c r="I37" s="60" t="s">
        <v>24</v>
      </c>
      <c r="J37" s="58"/>
      <c r="K37" s="59"/>
      <c r="L37" s="59"/>
      <c r="M37" s="59"/>
      <c r="N37" s="59"/>
      <c r="O37" s="59"/>
      <c r="P37" s="59"/>
    </row>
    <row r="38" spans="1:17" ht="26.25" customHeight="1" x14ac:dyDescent="0.15">
      <c r="A38" s="49"/>
      <c r="B38" s="50" t="s">
        <v>28</v>
      </c>
      <c r="C38" s="63">
        <f>E33*G38/100</f>
        <v>0</v>
      </c>
      <c r="D38" s="63">
        <f>E34*H38/100</f>
        <v>0</v>
      </c>
      <c r="E38" s="63">
        <f>E35*I38/100</f>
        <v>0</v>
      </c>
      <c r="F38" s="52"/>
      <c r="G38" s="65">
        <v>8.5</v>
      </c>
      <c r="H38" s="65">
        <v>3.1</v>
      </c>
      <c r="I38" s="65">
        <v>2.6</v>
      </c>
      <c r="J38" s="58"/>
      <c r="K38" s="59"/>
      <c r="L38" s="59"/>
      <c r="M38" s="59"/>
      <c r="N38" s="59"/>
      <c r="O38" s="59"/>
      <c r="P38" s="59"/>
    </row>
    <row r="39" spans="1:17" ht="26.25" customHeight="1" x14ac:dyDescent="0.15">
      <c r="A39" s="49"/>
      <c r="B39" s="50" t="s">
        <v>29</v>
      </c>
      <c r="C39" s="63">
        <f>C33*G39</f>
        <v>0</v>
      </c>
      <c r="D39" s="63">
        <f>C34*H39</f>
        <v>0</v>
      </c>
      <c r="E39" s="63">
        <f>C35*I39</f>
        <v>0</v>
      </c>
      <c r="F39" s="52"/>
      <c r="G39" s="66">
        <v>30200</v>
      </c>
      <c r="H39" s="66">
        <v>10500</v>
      </c>
      <c r="I39" s="66">
        <v>18700</v>
      </c>
      <c r="J39" s="58"/>
      <c r="K39" s="59"/>
      <c r="L39" s="59"/>
      <c r="M39" s="59"/>
      <c r="N39" s="59"/>
      <c r="O39" s="59"/>
      <c r="P39" s="59"/>
    </row>
    <row r="40" spans="1:17" ht="26.25" customHeight="1" x14ac:dyDescent="0.15">
      <c r="A40" s="49"/>
      <c r="B40" s="50" t="s">
        <v>30</v>
      </c>
      <c r="C40" s="63">
        <f>IF(C33=0,0,G40)</f>
        <v>0</v>
      </c>
      <c r="D40" s="63">
        <f>IF(C34=0,0,H40)</f>
        <v>0</v>
      </c>
      <c r="E40" s="63">
        <f>IF(C35=0,0,I40)</f>
        <v>0</v>
      </c>
      <c r="F40" s="52"/>
      <c r="G40" s="66">
        <v>20800</v>
      </c>
      <c r="H40" s="66">
        <v>7200</v>
      </c>
      <c r="I40" s="66">
        <v>0</v>
      </c>
      <c r="J40" s="58"/>
      <c r="K40" s="59"/>
      <c r="L40" s="59"/>
      <c r="M40" s="59"/>
      <c r="N40" s="59"/>
      <c r="O40" s="59"/>
      <c r="P40" s="59"/>
    </row>
    <row r="41" spans="1:17" ht="26.25" customHeight="1" x14ac:dyDescent="0.15">
      <c r="A41" s="49"/>
      <c r="B41" s="50" t="s">
        <v>31</v>
      </c>
      <c r="C41" s="63">
        <f>IF(C33=0,0,IF($C$23="軽減なし",0,IF($C$23=B26,G39*0.7*C33,IF($C$23=B27,G39*0.5*C33,IF($C$23=B28,G39*0.2*C33,"")))))</f>
        <v>0</v>
      </c>
      <c r="D41" s="63">
        <f>IF(C34=0,0,IF($C$23="軽減なし",0,IF($C$23=B26,H39*0.7*C34,IF($C$23=B27,H39*0.5*C34,IF($C$23=B28,H39*0.2*C34,"")))))</f>
        <v>0</v>
      </c>
      <c r="E41" s="63">
        <f>IF(C35=0,0,IF($C$23="軽減なし",0,IF($C$23=B26,I39*0.7*C35,IF($C$23=B27,I39*0.5*C35,IF($C$23=B28,I39*0.2*C35,"")))))</f>
        <v>0</v>
      </c>
      <c r="F41" s="52"/>
      <c r="G41" s="102"/>
      <c r="H41" s="102"/>
      <c r="I41" s="102"/>
      <c r="J41" s="58"/>
      <c r="K41" s="59"/>
      <c r="L41" s="59"/>
      <c r="M41" s="59"/>
      <c r="N41" s="59"/>
      <c r="O41" s="59"/>
      <c r="P41" s="59"/>
    </row>
    <row r="42" spans="1:17" ht="26.25" customHeight="1" x14ac:dyDescent="0.15">
      <c r="A42" s="49"/>
      <c r="B42" s="166" t="s">
        <v>131</v>
      </c>
      <c r="C42" s="63">
        <f>IF(C33=0,0,IF($C$23="軽減なし",G39*0.5*D33,IF($C$23=B26,G39*0.15*D33,IF($C$23=B27,G39*0.25*D33,IF($C$23=B28,G39*0.4*D33,"")))))</f>
        <v>0</v>
      </c>
      <c r="D42" s="63">
        <f>IF(C33=0,0,IF($C$23="軽減なし",H39*0.5*D33,IF($C$23=B26,H39*0.15*D33,IF($C$23=B27,H39*0.25*D33,IF($C$23=B28,H39*0.4*D33,"")))))</f>
        <v>0</v>
      </c>
      <c r="E42" s="63">
        <v>0</v>
      </c>
      <c r="F42" s="145"/>
      <c r="G42" s="102"/>
      <c r="H42" s="102"/>
      <c r="I42" s="102"/>
      <c r="J42" s="58"/>
      <c r="K42" s="59"/>
      <c r="L42" s="59"/>
      <c r="M42" s="59"/>
      <c r="N42" s="59"/>
      <c r="O42" s="59"/>
      <c r="P42" s="59"/>
    </row>
    <row r="43" spans="1:17" ht="26.25" customHeight="1" x14ac:dyDescent="0.15">
      <c r="A43" s="67"/>
      <c r="B43" s="50" t="s">
        <v>33</v>
      </c>
      <c r="C43" s="63">
        <f>IF(C33=0,0,IF($C$23="軽減なし",0,IF($C$23=B26,G40*0.7,IF($C$23=B27,G40*0.5,IF($C$23=B28,G40*0.2,"")))))</f>
        <v>0</v>
      </c>
      <c r="D43" s="63">
        <f>IF(C33=0,0,IF($C$23="軽減なし",0,IF($C$23=B26,H40*0.7,IF($C$23=B27,H40*0.5,IF($C$23=B28,H40*0.2,"")))))</f>
        <v>0</v>
      </c>
      <c r="E43" s="63">
        <f>IF(C35=0,0,IF($C$23="軽減なし",0,IF($C$23=B26,I40*0.7,IF($C$23=B27,I40*0.5,IF($C$23=B28,I40*0.2,"")))))</f>
        <v>0</v>
      </c>
      <c r="F43" s="52"/>
      <c r="G43" s="52" t="s">
        <v>32</v>
      </c>
      <c r="H43" s="52"/>
      <c r="I43" s="52"/>
      <c r="J43" s="58"/>
      <c r="K43" s="59"/>
      <c r="L43" s="59"/>
      <c r="M43" s="59"/>
      <c r="N43" s="59"/>
      <c r="O43" s="59"/>
      <c r="P43" s="59"/>
    </row>
    <row r="44" spans="1:17" ht="26.25" customHeight="1" x14ac:dyDescent="0.15">
      <c r="A44" s="67"/>
      <c r="B44" s="50" t="s">
        <v>34</v>
      </c>
      <c r="C44" s="63">
        <f>IF(SUM(C38:C40)&lt;G45,0,SUM(C38:C40)-G45)</f>
        <v>0</v>
      </c>
      <c r="D44" s="63">
        <f>IF(SUM(D38:D40)&lt;H45,0,SUM(D38:D40)-H45)</f>
        <v>0</v>
      </c>
      <c r="E44" s="63">
        <f>IF(SUM(E38:E40)&lt;I45,0,SUM(E38:E40)-I45)</f>
        <v>0</v>
      </c>
      <c r="F44" s="52"/>
      <c r="G44" s="60" t="s">
        <v>22</v>
      </c>
      <c r="H44" s="60" t="s">
        <v>23</v>
      </c>
      <c r="I44" s="60" t="s">
        <v>24</v>
      </c>
      <c r="J44" s="58"/>
      <c r="K44" s="59"/>
      <c r="L44" s="59"/>
      <c r="M44" s="59"/>
      <c r="N44" s="59"/>
      <c r="O44" s="59"/>
      <c r="P44" s="59"/>
    </row>
    <row r="45" spans="1:17" ht="26.25" customHeight="1" thickBot="1" x14ac:dyDescent="0.2">
      <c r="A45" s="68"/>
      <c r="B45" s="107" t="s">
        <v>35</v>
      </c>
      <c r="C45" s="108">
        <f>ROUNDDOWN(SUM(C38:C40)-SUM(C41:C44),-2)</f>
        <v>0</v>
      </c>
      <c r="D45" s="108">
        <f>ROUNDDOWN(SUM(D38:D40)-SUM(D41:D44),-2)</f>
        <v>0</v>
      </c>
      <c r="E45" s="108">
        <f>ROUNDDOWN(SUM(E38:E40)-SUM(E41:E44),-2)</f>
        <v>0</v>
      </c>
      <c r="F45" s="109"/>
      <c r="G45" s="110">
        <v>650000</v>
      </c>
      <c r="H45" s="110">
        <v>240000</v>
      </c>
      <c r="I45" s="110">
        <v>170000</v>
      </c>
      <c r="J45" s="111"/>
      <c r="K45" s="59"/>
      <c r="L45" s="59"/>
      <c r="M45" s="59"/>
      <c r="N45" s="59"/>
      <c r="O45" s="59"/>
      <c r="P45" s="59"/>
    </row>
    <row r="46" spans="1:17" ht="37.5" customHeight="1" thickBot="1" x14ac:dyDescent="0.2">
      <c r="A46" s="112"/>
      <c r="B46" s="113"/>
      <c r="C46" s="113"/>
      <c r="D46" s="113"/>
      <c r="E46" s="113"/>
      <c r="F46" s="113"/>
      <c r="G46" s="113"/>
      <c r="H46" s="113"/>
      <c r="I46" s="113"/>
      <c r="J46" s="113"/>
      <c r="K46" s="59"/>
      <c r="L46" s="59"/>
      <c r="M46" s="59"/>
      <c r="N46" s="59"/>
      <c r="O46" s="59"/>
      <c r="P46" s="59"/>
    </row>
    <row r="47" spans="1:17" ht="60.75" customHeight="1" thickBot="1" x14ac:dyDescent="0.2">
      <c r="A47" s="103"/>
      <c r="B47" s="179" t="s">
        <v>36</v>
      </c>
      <c r="C47" s="180"/>
      <c r="D47" s="180"/>
      <c r="E47" s="180"/>
      <c r="F47" s="177" t="str">
        <f>TEXT(SUM(C45:E45),"#,##0")</f>
        <v>0</v>
      </c>
      <c r="G47" s="177"/>
      <c r="H47" s="115" t="s">
        <v>37</v>
      </c>
      <c r="I47" s="103"/>
      <c r="J47" s="103"/>
      <c r="K47" s="59"/>
      <c r="L47" s="59"/>
      <c r="M47" s="59"/>
      <c r="N47" s="59"/>
      <c r="O47" s="59"/>
      <c r="P47" s="59"/>
    </row>
    <row r="48" spans="1:17" ht="37.5" customHeight="1" thickBot="1" x14ac:dyDescent="0.2">
      <c r="A48" s="103"/>
      <c r="B48" s="116"/>
      <c r="C48" s="116"/>
      <c r="D48" s="116"/>
      <c r="E48" s="116"/>
      <c r="F48" s="117"/>
      <c r="G48" s="117"/>
      <c r="H48" s="118"/>
      <c r="I48" s="103"/>
      <c r="J48" s="103"/>
      <c r="K48" s="59"/>
      <c r="L48" s="59"/>
      <c r="M48" s="59"/>
      <c r="N48" s="59"/>
      <c r="O48" s="59"/>
      <c r="P48" s="59"/>
    </row>
    <row r="49" spans="1:11" ht="60" customHeight="1" thickBot="1" x14ac:dyDescent="0.2">
      <c r="A49" s="103"/>
      <c r="B49" s="175" t="s">
        <v>49</v>
      </c>
      <c r="C49" s="176"/>
      <c r="D49" s="176"/>
      <c r="E49" s="176"/>
      <c r="F49" s="178" t="str">
        <f>TEXT(ROUND(SUM(C45:E45)/12,0),"#,##0")</f>
        <v>0</v>
      </c>
      <c r="G49" s="178"/>
      <c r="H49" s="114" t="s">
        <v>37</v>
      </c>
      <c r="I49" s="103"/>
      <c r="J49" s="103"/>
      <c r="K49" s="59"/>
    </row>
    <row r="50" spans="1:11" ht="39" customHeight="1" x14ac:dyDescent="0.15">
      <c r="A50" s="103"/>
      <c r="B50" s="172" t="s">
        <v>136</v>
      </c>
      <c r="C50" s="169"/>
      <c r="D50" s="169"/>
      <c r="E50" s="169"/>
      <c r="F50" s="170"/>
      <c r="G50" s="170"/>
      <c r="H50" s="171"/>
      <c r="I50" s="103"/>
      <c r="J50" s="103"/>
      <c r="K50" s="59"/>
    </row>
    <row r="51" spans="1:11" ht="39" customHeight="1" thickBot="1" x14ac:dyDescent="0.2">
      <c r="A51" s="103"/>
      <c r="B51" s="104" t="s">
        <v>135</v>
      </c>
      <c r="C51" s="105"/>
      <c r="D51" s="105"/>
      <c r="E51" s="106"/>
      <c r="F51" s="106"/>
      <c r="G51" s="103"/>
      <c r="H51" s="103"/>
      <c r="I51" s="103"/>
      <c r="J51" s="103"/>
      <c r="K51" s="59"/>
    </row>
    <row r="52" spans="1:11" ht="60" customHeight="1" thickBot="1" x14ac:dyDescent="0.2">
      <c r="A52" s="103"/>
      <c r="B52" s="175" t="s">
        <v>38</v>
      </c>
      <c r="C52" s="176"/>
      <c r="D52" s="176"/>
      <c r="E52" s="176"/>
      <c r="F52" s="178" t="str">
        <f>TEXT(ROUND(SUM(C45:E45)/8,0),"#,##0")</f>
        <v>0</v>
      </c>
      <c r="G52" s="178"/>
      <c r="H52" s="114" t="s">
        <v>37</v>
      </c>
      <c r="I52" s="103"/>
      <c r="J52" s="103"/>
      <c r="K52" s="59"/>
    </row>
    <row r="53" spans="1:11" ht="22.5" customHeight="1" x14ac:dyDescent="0.15">
      <c r="A53" s="103"/>
      <c r="B53" s="103"/>
      <c r="C53" s="103"/>
      <c r="D53" s="103"/>
      <c r="E53" s="103"/>
      <c r="F53" s="103"/>
      <c r="G53" s="103"/>
      <c r="H53" s="103"/>
      <c r="I53" s="103"/>
      <c r="J53" s="103"/>
      <c r="K53" s="59"/>
    </row>
    <row r="54" spans="1:11" ht="22.5" customHeight="1" x14ac:dyDescent="0.15">
      <c r="B54" s="168" t="s">
        <v>133</v>
      </c>
    </row>
  </sheetData>
  <sheetProtection algorithmName="SHA-512" hashValue="ZXBHjVxIv4OtNA45LasBeoRguW4PO+0J0vRVrkEp2Mn5lu30aVcFiY80iWIBSaDooDNTaD9eDywMJpQPL5Q4rg==" saltValue="FXVkW2fAuq23Wk4RIa+kPA==" spinCount="100000" sheet="1" formatCells="0" formatColumns="0" formatRows="0" insertColumns="0" insertRows="0" insertHyperlinks="0" deleteColumns="0" deleteRows="0" sort="0" autoFilter="0" pivotTables="0"/>
  <mergeCells count="11">
    <mergeCell ref="B1:E1"/>
    <mergeCell ref="B49:E49"/>
    <mergeCell ref="F47:G47"/>
    <mergeCell ref="F49:G49"/>
    <mergeCell ref="F52:G52"/>
    <mergeCell ref="B52:E52"/>
    <mergeCell ref="B47:E47"/>
    <mergeCell ref="C26:I26"/>
    <mergeCell ref="C27:I27"/>
    <mergeCell ref="C28:I28"/>
    <mergeCell ref="C25:I25"/>
  </mergeCells>
  <phoneticPr fontId="1"/>
  <dataValidations count="3">
    <dataValidation type="list" allowBlank="1" showInputMessage="1" showErrorMessage="1" sqref="B1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B65554 IX65555 ST65555 ACP65555 AML65555 AWH65555 BGD65555 BPZ65555 BZV65555 CJR65555 CTN65555 DDJ65555 DNF65555 DXB65555 EGX65555 EQT65555 FAP65555 FKL65555 FUH65555 GED65555 GNZ65555 GXV65555 HHR65555 HRN65555 IBJ65555 ILF65555 IVB65555 JEX65555 JOT65555 JYP65555 KIL65555 KSH65555 LCD65555 LLZ65555 LVV65555 MFR65555 MPN65555 MZJ65555 NJF65555 NTB65555 OCX65555 OMT65555 OWP65555 PGL65555 PQH65555 QAD65555 QJZ65555 QTV65555 RDR65555 RNN65555 RXJ65555 SHF65555 SRB65555 TAX65555 TKT65555 TUP65555 UEL65555 UOH65555 UYD65555 VHZ65555 VRV65555 WBR65555 WLN65555 WVJ65555 B131090 IX131091 ST131091 ACP131091 AML131091 AWH131091 BGD131091 BPZ131091 BZV131091 CJR131091 CTN131091 DDJ131091 DNF131091 DXB131091 EGX131091 EQT131091 FAP131091 FKL131091 FUH131091 GED131091 GNZ131091 GXV131091 HHR131091 HRN131091 IBJ131091 ILF131091 IVB131091 JEX131091 JOT131091 JYP131091 KIL131091 KSH131091 LCD131091 LLZ131091 LVV131091 MFR131091 MPN131091 MZJ131091 NJF131091 NTB131091 OCX131091 OMT131091 OWP131091 PGL131091 PQH131091 QAD131091 QJZ131091 QTV131091 RDR131091 RNN131091 RXJ131091 SHF131091 SRB131091 TAX131091 TKT131091 TUP131091 UEL131091 UOH131091 UYD131091 VHZ131091 VRV131091 WBR131091 WLN131091 WVJ131091 B196626 IX196627 ST196627 ACP196627 AML196627 AWH196627 BGD196627 BPZ196627 BZV196627 CJR196627 CTN196627 DDJ196627 DNF196627 DXB196627 EGX196627 EQT196627 FAP196627 FKL196627 FUH196627 GED196627 GNZ196627 GXV196627 HHR196627 HRN196627 IBJ196627 ILF196627 IVB196627 JEX196627 JOT196627 JYP196627 KIL196627 KSH196627 LCD196627 LLZ196627 LVV196627 MFR196627 MPN196627 MZJ196627 NJF196627 NTB196627 OCX196627 OMT196627 OWP196627 PGL196627 PQH196627 QAD196627 QJZ196627 QTV196627 RDR196627 RNN196627 RXJ196627 SHF196627 SRB196627 TAX196627 TKT196627 TUP196627 UEL196627 UOH196627 UYD196627 VHZ196627 VRV196627 WBR196627 WLN196627 WVJ196627 B262162 IX262163 ST262163 ACP262163 AML262163 AWH262163 BGD262163 BPZ262163 BZV262163 CJR262163 CTN262163 DDJ262163 DNF262163 DXB262163 EGX262163 EQT262163 FAP262163 FKL262163 FUH262163 GED262163 GNZ262163 GXV262163 HHR262163 HRN262163 IBJ262163 ILF262163 IVB262163 JEX262163 JOT262163 JYP262163 KIL262163 KSH262163 LCD262163 LLZ262163 LVV262163 MFR262163 MPN262163 MZJ262163 NJF262163 NTB262163 OCX262163 OMT262163 OWP262163 PGL262163 PQH262163 QAD262163 QJZ262163 QTV262163 RDR262163 RNN262163 RXJ262163 SHF262163 SRB262163 TAX262163 TKT262163 TUP262163 UEL262163 UOH262163 UYD262163 VHZ262163 VRV262163 WBR262163 WLN262163 WVJ262163 B327698 IX327699 ST327699 ACP327699 AML327699 AWH327699 BGD327699 BPZ327699 BZV327699 CJR327699 CTN327699 DDJ327699 DNF327699 DXB327699 EGX327699 EQT327699 FAP327699 FKL327699 FUH327699 GED327699 GNZ327699 GXV327699 HHR327699 HRN327699 IBJ327699 ILF327699 IVB327699 JEX327699 JOT327699 JYP327699 KIL327699 KSH327699 LCD327699 LLZ327699 LVV327699 MFR327699 MPN327699 MZJ327699 NJF327699 NTB327699 OCX327699 OMT327699 OWP327699 PGL327699 PQH327699 QAD327699 QJZ327699 QTV327699 RDR327699 RNN327699 RXJ327699 SHF327699 SRB327699 TAX327699 TKT327699 TUP327699 UEL327699 UOH327699 UYD327699 VHZ327699 VRV327699 WBR327699 WLN327699 WVJ327699 B393234 IX393235 ST393235 ACP393235 AML393235 AWH393235 BGD393235 BPZ393235 BZV393235 CJR393235 CTN393235 DDJ393235 DNF393235 DXB393235 EGX393235 EQT393235 FAP393235 FKL393235 FUH393235 GED393235 GNZ393235 GXV393235 HHR393235 HRN393235 IBJ393235 ILF393235 IVB393235 JEX393235 JOT393235 JYP393235 KIL393235 KSH393235 LCD393235 LLZ393235 LVV393235 MFR393235 MPN393235 MZJ393235 NJF393235 NTB393235 OCX393235 OMT393235 OWP393235 PGL393235 PQH393235 QAD393235 QJZ393235 QTV393235 RDR393235 RNN393235 RXJ393235 SHF393235 SRB393235 TAX393235 TKT393235 TUP393235 UEL393235 UOH393235 UYD393235 VHZ393235 VRV393235 WBR393235 WLN393235 WVJ393235 B458770 IX458771 ST458771 ACP458771 AML458771 AWH458771 BGD458771 BPZ458771 BZV458771 CJR458771 CTN458771 DDJ458771 DNF458771 DXB458771 EGX458771 EQT458771 FAP458771 FKL458771 FUH458771 GED458771 GNZ458771 GXV458771 HHR458771 HRN458771 IBJ458771 ILF458771 IVB458771 JEX458771 JOT458771 JYP458771 KIL458771 KSH458771 LCD458771 LLZ458771 LVV458771 MFR458771 MPN458771 MZJ458771 NJF458771 NTB458771 OCX458771 OMT458771 OWP458771 PGL458771 PQH458771 QAD458771 QJZ458771 QTV458771 RDR458771 RNN458771 RXJ458771 SHF458771 SRB458771 TAX458771 TKT458771 TUP458771 UEL458771 UOH458771 UYD458771 VHZ458771 VRV458771 WBR458771 WLN458771 WVJ458771 B524306 IX524307 ST524307 ACP524307 AML524307 AWH524307 BGD524307 BPZ524307 BZV524307 CJR524307 CTN524307 DDJ524307 DNF524307 DXB524307 EGX524307 EQT524307 FAP524307 FKL524307 FUH524307 GED524307 GNZ524307 GXV524307 HHR524307 HRN524307 IBJ524307 ILF524307 IVB524307 JEX524307 JOT524307 JYP524307 KIL524307 KSH524307 LCD524307 LLZ524307 LVV524307 MFR524307 MPN524307 MZJ524307 NJF524307 NTB524307 OCX524307 OMT524307 OWP524307 PGL524307 PQH524307 QAD524307 QJZ524307 QTV524307 RDR524307 RNN524307 RXJ524307 SHF524307 SRB524307 TAX524307 TKT524307 TUP524307 UEL524307 UOH524307 UYD524307 VHZ524307 VRV524307 WBR524307 WLN524307 WVJ524307 B589842 IX589843 ST589843 ACP589843 AML589843 AWH589843 BGD589843 BPZ589843 BZV589843 CJR589843 CTN589843 DDJ589843 DNF589843 DXB589843 EGX589843 EQT589843 FAP589843 FKL589843 FUH589843 GED589843 GNZ589843 GXV589843 HHR589843 HRN589843 IBJ589843 ILF589843 IVB589843 JEX589843 JOT589843 JYP589843 KIL589843 KSH589843 LCD589843 LLZ589843 LVV589843 MFR589843 MPN589843 MZJ589843 NJF589843 NTB589843 OCX589843 OMT589843 OWP589843 PGL589843 PQH589843 QAD589843 QJZ589843 QTV589843 RDR589843 RNN589843 RXJ589843 SHF589843 SRB589843 TAX589843 TKT589843 TUP589843 UEL589843 UOH589843 UYD589843 VHZ589843 VRV589843 WBR589843 WLN589843 WVJ589843 B655378 IX655379 ST655379 ACP655379 AML655379 AWH655379 BGD655379 BPZ655379 BZV655379 CJR655379 CTN655379 DDJ655379 DNF655379 DXB655379 EGX655379 EQT655379 FAP655379 FKL655379 FUH655379 GED655379 GNZ655379 GXV655379 HHR655379 HRN655379 IBJ655379 ILF655379 IVB655379 JEX655379 JOT655379 JYP655379 KIL655379 KSH655379 LCD655379 LLZ655379 LVV655379 MFR655379 MPN655379 MZJ655379 NJF655379 NTB655379 OCX655379 OMT655379 OWP655379 PGL655379 PQH655379 QAD655379 QJZ655379 QTV655379 RDR655379 RNN655379 RXJ655379 SHF655379 SRB655379 TAX655379 TKT655379 TUP655379 UEL655379 UOH655379 UYD655379 VHZ655379 VRV655379 WBR655379 WLN655379 WVJ655379 B720914 IX720915 ST720915 ACP720915 AML720915 AWH720915 BGD720915 BPZ720915 BZV720915 CJR720915 CTN720915 DDJ720915 DNF720915 DXB720915 EGX720915 EQT720915 FAP720915 FKL720915 FUH720915 GED720915 GNZ720915 GXV720915 HHR720915 HRN720915 IBJ720915 ILF720915 IVB720915 JEX720915 JOT720915 JYP720915 KIL720915 KSH720915 LCD720915 LLZ720915 LVV720915 MFR720915 MPN720915 MZJ720915 NJF720915 NTB720915 OCX720915 OMT720915 OWP720915 PGL720915 PQH720915 QAD720915 QJZ720915 QTV720915 RDR720915 RNN720915 RXJ720915 SHF720915 SRB720915 TAX720915 TKT720915 TUP720915 UEL720915 UOH720915 UYD720915 VHZ720915 VRV720915 WBR720915 WLN720915 WVJ720915 B786450 IX786451 ST786451 ACP786451 AML786451 AWH786451 BGD786451 BPZ786451 BZV786451 CJR786451 CTN786451 DDJ786451 DNF786451 DXB786451 EGX786451 EQT786451 FAP786451 FKL786451 FUH786451 GED786451 GNZ786451 GXV786451 HHR786451 HRN786451 IBJ786451 ILF786451 IVB786451 JEX786451 JOT786451 JYP786451 KIL786451 KSH786451 LCD786451 LLZ786451 LVV786451 MFR786451 MPN786451 MZJ786451 NJF786451 NTB786451 OCX786451 OMT786451 OWP786451 PGL786451 PQH786451 QAD786451 QJZ786451 QTV786451 RDR786451 RNN786451 RXJ786451 SHF786451 SRB786451 TAX786451 TKT786451 TUP786451 UEL786451 UOH786451 UYD786451 VHZ786451 VRV786451 WBR786451 WLN786451 WVJ786451 B851986 IX851987 ST851987 ACP851987 AML851987 AWH851987 BGD851987 BPZ851987 BZV851987 CJR851987 CTN851987 DDJ851987 DNF851987 DXB851987 EGX851987 EQT851987 FAP851987 FKL851987 FUH851987 GED851987 GNZ851987 GXV851987 HHR851987 HRN851987 IBJ851987 ILF851987 IVB851987 JEX851987 JOT851987 JYP851987 KIL851987 KSH851987 LCD851987 LLZ851987 LVV851987 MFR851987 MPN851987 MZJ851987 NJF851987 NTB851987 OCX851987 OMT851987 OWP851987 PGL851987 PQH851987 QAD851987 QJZ851987 QTV851987 RDR851987 RNN851987 RXJ851987 SHF851987 SRB851987 TAX851987 TKT851987 TUP851987 UEL851987 UOH851987 UYD851987 VHZ851987 VRV851987 WBR851987 WLN851987 WVJ851987 B917522 IX917523 ST917523 ACP917523 AML917523 AWH917523 BGD917523 BPZ917523 BZV917523 CJR917523 CTN917523 DDJ917523 DNF917523 DXB917523 EGX917523 EQT917523 FAP917523 FKL917523 FUH917523 GED917523 GNZ917523 GXV917523 HHR917523 HRN917523 IBJ917523 ILF917523 IVB917523 JEX917523 JOT917523 JYP917523 KIL917523 KSH917523 LCD917523 LLZ917523 LVV917523 MFR917523 MPN917523 MZJ917523 NJF917523 NTB917523 OCX917523 OMT917523 OWP917523 PGL917523 PQH917523 QAD917523 QJZ917523 QTV917523 RDR917523 RNN917523 RXJ917523 SHF917523 SRB917523 TAX917523 TKT917523 TUP917523 UEL917523 UOH917523 UYD917523 VHZ917523 VRV917523 WBR917523 WLN917523 WVJ917523 B983058 IX983059 ST983059 ACP983059 AML983059 AWH983059 BGD983059 BPZ983059 BZV983059 CJR983059 CTN983059 DDJ983059 DNF983059 DXB983059 EGX983059 EQT983059 FAP983059 FKL983059 FUH983059 GED983059 GNZ983059 GXV983059 HHR983059 HRN983059 IBJ983059 ILF983059 IVB983059 JEX983059 JOT983059 JYP983059 KIL983059 KSH983059 LCD983059 LLZ983059 LVV983059 MFR983059 MPN983059 MZJ983059 NJF983059 NTB983059 OCX983059 OMT983059 OWP983059 PGL983059 PQH983059 QAD983059 QJZ983059 QTV983059 RDR983059 RNN983059 RXJ983059 SHF983059 SRB983059 TAX983059 TKT983059 TUP983059 UEL983059 UOH983059 UYD983059 VHZ983059 VRV983059 WBR983059 WLN983059 WVJ983059" xr:uid="{00000000-0002-0000-0000-000000000000}">
      <formula1>"1,2"</formula1>
    </dataValidation>
    <dataValidation type="whole" errorStyle="warning" operator="greaterThanOrEqual" allowBlank="1" showInputMessage="1" showErrorMessage="1" errorTitle="入力内容を確認してください" error="数値を入力してください" sqref="D65544:F65551 IY5:JA12 SU5:SW12 ACQ5:ACS12 AMM5:AMO12 AWI5:AWK12 BGE5:BGG12 BQA5:BQC12 BZW5:BZY12 CJS5:CJU12 CTO5:CTQ12 DDK5:DDM12 DNG5:DNI12 DXC5:DXE12 EGY5:EHA12 EQU5:EQW12 FAQ5:FAS12 FKM5:FKO12 FUI5:FUK12 GEE5:GEG12 GOA5:GOC12 GXW5:GXY12 HHS5:HHU12 HRO5:HRQ12 IBK5:IBM12 ILG5:ILI12 IVC5:IVE12 JEY5:JFA12 JOU5:JOW12 JYQ5:JYS12 KIM5:KIO12 KSI5:KSK12 LCE5:LCG12 LMA5:LMC12 LVW5:LVY12 MFS5:MFU12 MPO5:MPQ12 MZK5:MZM12 NJG5:NJI12 NTC5:NTE12 OCY5:ODA12 OMU5:OMW12 OWQ5:OWS12 PGM5:PGO12 PQI5:PQK12 QAE5:QAG12 QKA5:QKC12 QTW5:QTY12 RDS5:RDU12 RNO5:RNQ12 RXK5:RXM12 SHG5:SHI12 SRC5:SRE12 TAY5:TBA12 TKU5:TKW12 TUQ5:TUS12 UEM5:UEO12 UOI5:UOK12 UYE5:UYG12 VIA5:VIC12 VRW5:VRY12 WBS5:WBU12 WLO5:WLQ12 WVK5:WVM12 IZ65545:JB65552 SV65545:SX65552 ACR65545:ACT65552 AMN65545:AMP65552 AWJ65545:AWL65552 BGF65545:BGH65552 BQB65545:BQD65552 BZX65545:BZZ65552 CJT65545:CJV65552 CTP65545:CTR65552 DDL65545:DDN65552 DNH65545:DNJ65552 DXD65545:DXF65552 EGZ65545:EHB65552 EQV65545:EQX65552 FAR65545:FAT65552 FKN65545:FKP65552 FUJ65545:FUL65552 GEF65545:GEH65552 GOB65545:GOD65552 GXX65545:GXZ65552 HHT65545:HHV65552 HRP65545:HRR65552 IBL65545:IBN65552 ILH65545:ILJ65552 IVD65545:IVF65552 JEZ65545:JFB65552 JOV65545:JOX65552 JYR65545:JYT65552 KIN65545:KIP65552 KSJ65545:KSL65552 LCF65545:LCH65552 LMB65545:LMD65552 LVX65545:LVZ65552 MFT65545:MFV65552 MPP65545:MPR65552 MZL65545:MZN65552 NJH65545:NJJ65552 NTD65545:NTF65552 OCZ65545:ODB65552 OMV65545:OMX65552 OWR65545:OWT65552 PGN65545:PGP65552 PQJ65545:PQL65552 QAF65545:QAH65552 QKB65545:QKD65552 QTX65545:QTZ65552 RDT65545:RDV65552 RNP65545:RNR65552 RXL65545:RXN65552 SHH65545:SHJ65552 SRD65545:SRF65552 TAZ65545:TBB65552 TKV65545:TKX65552 TUR65545:TUT65552 UEN65545:UEP65552 UOJ65545:UOL65552 UYF65545:UYH65552 VIB65545:VID65552 VRX65545:VRZ65552 WBT65545:WBV65552 WLP65545:WLR65552 WVL65545:WVN65552 IZ131081:JB131088 SV131081:SX131088 ACR131081:ACT131088 AMN131081:AMP131088 AWJ131081:AWL131088 BGF131081:BGH131088 BQB131081:BQD131088 BZX131081:BZZ131088 CJT131081:CJV131088 CTP131081:CTR131088 DDL131081:DDN131088 DNH131081:DNJ131088 DXD131081:DXF131088 EGZ131081:EHB131088 EQV131081:EQX131088 FAR131081:FAT131088 FKN131081:FKP131088 FUJ131081:FUL131088 GEF131081:GEH131088 GOB131081:GOD131088 GXX131081:GXZ131088 HHT131081:HHV131088 HRP131081:HRR131088 IBL131081:IBN131088 ILH131081:ILJ131088 IVD131081:IVF131088 JEZ131081:JFB131088 JOV131081:JOX131088 JYR131081:JYT131088 KIN131081:KIP131088 KSJ131081:KSL131088 LCF131081:LCH131088 LMB131081:LMD131088 LVX131081:LVZ131088 MFT131081:MFV131088 MPP131081:MPR131088 MZL131081:MZN131088 NJH131081:NJJ131088 NTD131081:NTF131088 OCZ131081:ODB131088 OMV131081:OMX131088 OWR131081:OWT131088 PGN131081:PGP131088 PQJ131081:PQL131088 QAF131081:QAH131088 QKB131081:QKD131088 QTX131081:QTZ131088 RDT131081:RDV131088 RNP131081:RNR131088 RXL131081:RXN131088 SHH131081:SHJ131088 SRD131081:SRF131088 TAZ131081:TBB131088 TKV131081:TKX131088 TUR131081:TUT131088 UEN131081:UEP131088 UOJ131081:UOL131088 UYF131081:UYH131088 VIB131081:VID131088 VRX131081:VRZ131088 WBT131081:WBV131088 WLP131081:WLR131088 WVL131081:WVN131088 IZ196617:JB196624 SV196617:SX196624 ACR196617:ACT196624 AMN196617:AMP196624 AWJ196617:AWL196624 BGF196617:BGH196624 BQB196617:BQD196624 BZX196617:BZZ196624 CJT196617:CJV196624 CTP196617:CTR196624 DDL196617:DDN196624 DNH196617:DNJ196624 DXD196617:DXF196624 EGZ196617:EHB196624 EQV196617:EQX196624 FAR196617:FAT196624 FKN196617:FKP196624 FUJ196617:FUL196624 GEF196617:GEH196624 GOB196617:GOD196624 GXX196617:GXZ196624 HHT196617:HHV196624 HRP196617:HRR196624 IBL196617:IBN196624 ILH196617:ILJ196624 IVD196617:IVF196624 JEZ196617:JFB196624 JOV196617:JOX196624 JYR196617:JYT196624 KIN196617:KIP196624 KSJ196617:KSL196624 LCF196617:LCH196624 LMB196617:LMD196624 LVX196617:LVZ196624 MFT196617:MFV196624 MPP196617:MPR196624 MZL196617:MZN196624 NJH196617:NJJ196624 NTD196617:NTF196624 OCZ196617:ODB196624 OMV196617:OMX196624 OWR196617:OWT196624 PGN196617:PGP196624 PQJ196617:PQL196624 QAF196617:QAH196624 QKB196617:QKD196624 QTX196617:QTZ196624 RDT196617:RDV196624 RNP196617:RNR196624 RXL196617:RXN196624 SHH196617:SHJ196624 SRD196617:SRF196624 TAZ196617:TBB196624 TKV196617:TKX196624 TUR196617:TUT196624 UEN196617:UEP196624 UOJ196617:UOL196624 UYF196617:UYH196624 VIB196617:VID196624 VRX196617:VRZ196624 WBT196617:WBV196624 WLP196617:WLR196624 WVL196617:WVN196624 IZ262153:JB262160 SV262153:SX262160 ACR262153:ACT262160 AMN262153:AMP262160 AWJ262153:AWL262160 BGF262153:BGH262160 BQB262153:BQD262160 BZX262153:BZZ262160 CJT262153:CJV262160 CTP262153:CTR262160 DDL262153:DDN262160 DNH262153:DNJ262160 DXD262153:DXF262160 EGZ262153:EHB262160 EQV262153:EQX262160 FAR262153:FAT262160 FKN262153:FKP262160 FUJ262153:FUL262160 GEF262153:GEH262160 GOB262153:GOD262160 GXX262153:GXZ262160 HHT262153:HHV262160 HRP262153:HRR262160 IBL262153:IBN262160 ILH262153:ILJ262160 IVD262153:IVF262160 JEZ262153:JFB262160 JOV262153:JOX262160 JYR262153:JYT262160 KIN262153:KIP262160 KSJ262153:KSL262160 LCF262153:LCH262160 LMB262153:LMD262160 LVX262153:LVZ262160 MFT262153:MFV262160 MPP262153:MPR262160 MZL262153:MZN262160 NJH262153:NJJ262160 NTD262153:NTF262160 OCZ262153:ODB262160 OMV262153:OMX262160 OWR262153:OWT262160 PGN262153:PGP262160 PQJ262153:PQL262160 QAF262153:QAH262160 QKB262153:QKD262160 QTX262153:QTZ262160 RDT262153:RDV262160 RNP262153:RNR262160 RXL262153:RXN262160 SHH262153:SHJ262160 SRD262153:SRF262160 TAZ262153:TBB262160 TKV262153:TKX262160 TUR262153:TUT262160 UEN262153:UEP262160 UOJ262153:UOL262160 UYF262153:UYH262160 VIB262153:VID262160 VRX262153:VRZ262160 WBT262153:WBV262160 WLP262153:WLR262160 WVL262153:WVN262160 IZ327689:JB327696 SV327689:SX327696 ACR327689:ACT327696 AMN327689:AMP327696 AWJ327689:AWL327696 BGF327689:BGH327696 BQB327689:BQD327696 BZX327689:BZZ327696 CJT327689:CJV327696 CTP327689:CTR327696 DDL327689:DDN327696 DNH327689:DNJ327696 DXD327689:DXF327696 EGZ327689:EHB327696 EQV327689:EQX327696 FAR327689:FAT327696 FKN327689:FKP327696 FUJ327689:FUL327696 GEF327689:GEH327696 GOB327689:GOD327696 GXX327689:GXZ327696 HHT327689:HHV327696 HRP327689:HRR327696 IBL327689:IBN327696 ILH327689:ILJ327696 IVD327689:IVF327696 JEZ327689:JFB327696 JOV327689:JOX327696 JYR327689:JYT327696 KIN327689:KIP327696 KSJ327689:KSL327696 LCF327689:LCH327696 LMB327689:LMD327696 LVX327689:LVZ327696 MFT327689:MFV327696 MPP327689:MPR327696 MZL327689:MZN327696 NJH327689:NJJ327696 NTD327689:NTF327696 OCZ327689:ODB327696 OMV327689:OMX327696 OWR327689:OWT327696 PGN327689:PGP327696 PQJ327689:PQL327696 QAF327689:QAH327696 QKB327689:QKD327696 QTX327689:QTZ327696 RDT327689:RDV327696 RNP327689:RNR327696 RXL327689:RXN327696 SHH327689:SHJ327696 SRD327689:SRF327696 TAZ327689:TBB327696 TKV327689:TKX327696 TUR327689:TUT327696 UEN327689:UEP327696 UOJ327689:UOL327696 UYF327689:UYH327696 VIB327689:VID327696 VRX327689:VRZ327696 WBT327689:WBV327696 WLP327689:WLR327696 WVL327689:WVN327696 IZ393225:JB393232 SV393225:SX393232 ACR393225:ACT393232 AMN393225:AMP393232 AWJ393225:AWL393232 BGF393225:BGH393232 BQB393225:BQD393232 BZX393225:BZZ393232 CJT393225:CJV393232 CTP393225:CTR393232 DDL393225:DDN393232 DNH393225:DNJ393232 DXD393225:DXF393232 EGZ393225:EHB393232 EQV393225:EQX393232 FAR393225:FAT393232 FKN393225:FKP393232 FUJ393225:FUL393232 GEF393225:GEH393232 GOB393225:GOD393232 GXX393225:GXZ393232 HHT393225:HHV393232 HRP393225:HRR393232 IBL393225:IBN393232 ILH393225:ILJ393232 IVD393225:IVF393232 JEZ393225:JFB393232 JOV393225:JOX393232 JYR393225:JYT393232 KIN393225:KIP393232 KSJ393225:KSL393232 LCF393225:LCH393232 LMB393225:LMD393232 LVX393225:LVZ393232 MFT393225:MFV393232 MPP393225:MPR393232 MZL393225:MZN393232 NJH393225:NJJ393232 NTD393225:NTF393232 OCZ393225:ODB393232 OMV393225:OMX393232 OWR393225:OWT393232 PGN393225:PGP393232 PQJ393225:PQL393232 QAF393225:QAH393232 QKB393225:QKD393232 QTX393225:QTZ393232 RDT393225:RDV393232 RNP393225:RNR393232 RXL393225:RXN393232 SHH393225:SHJ393232 SRD393225:SRF393232 TAZ393225:TBB393232 TKV393225:TKX393232 TUR393225:TUT393232 UEN393225:UEP393232 UOJ393225:UOL393232 UYF393225:UYH393232 VIB393225:VID393232 VRX393225:VRZ393232 WBT393225:WBV393232 WLP393225:WLR393232 WVL393225:WVN393232 IZ458761:JB458768 SV458761:SX458768 ACR458761:ACT458768 AMN458761:AMP458768 AWJ458761:AWL458768 BGF458761:BGH458768 BQB458761:BQD458768 BZX458761:BZZ458768 CJT458761:CJV458768 CTP458761:CTR458768 DDL458761:DDN458768 DNH458761:DNJ458768 DXD458761:DXF458768 EGZ458761:EHB458768 EQV458761:EQX458768 FAR458761:FAT458768 FKN458761:FKP458768 FUJ458761:FUL458768 GEF458761:GEH458768 GOB458761:GOD458768 GXX458761:GXZ458768 HHT458761:HHV458768 HRP458761:HRR458768 IBL458761:IBN458768 ILH458761:ILJ458768 IVD458761:IVF458768 JEZ458761:JFB458768 JOV458761:JOX458768 JYR458761:JYT458768 KIN458761:KIP458768 KSJ458761:KSL458768 LCF458761:LCH458768 LMB458761:LMD458768 LVX458761:LVZ458768 MFT458761:MFV458768 MPP458761:MPR458768 MZL458761:MZN458768 NJH458761:NJJ458768 NTD458761:NTF458768 OCZ458761:ODB458768 OMV458761:OMX458768 OWR458761:OWT458768 PGN458761:PGP458768 PQJ458761:PQL458768 QAF458761:QAH458768 QKB458761:QKD458768 QTX458761:QTZ458768 RDT458761:RDV458768 RNP458761:RNR458768 RXL458761:RXN458768 SHH458761:SHJ458768 SRD458761:SRF458768 TAZ458761:TBB458768 TKV458761:TKX458768 TUR458761:TUT458768 UEN458761:UEP458768 UOJ458761:UOL458768 UYF458761:UYH458768 VIB458761:VID458768 VRX458761:VRZ458768 WBT458761:WBV458768 WLP458761:WLR458768 WVL458761:WVN458768 IZ524297:JB524304 SV524297:SX524304 ACR524297:ACT524304 AMN524297:AMP524304 AWJ524297:AWL524304 BGF524297:BGH524304 BQB524297:BQD524304 BZX524297:BZZ524304 CJT524297:CJV524304 CTP524297:CTR524304 DDL524297:DDN524304 DNH524297:DNJ524304 DXD524297:DXF524304 EGZ524297:EHB524304 EQV524297:EQX524304 FAR524297:FAT524304 FKN524297:FKP524304 FUJ524297:FUL524304 GEF524297:GEH524304 GOB524297:GOD524304 GXX524297:GXZ524304 HHT524297:HHV524304 HRP524297:HRR524304 IBL524297:IBN524304 ILH524297:ILJ524304 IVD524297:IVF524304 JEZ524297:JFB524304 JOV524297:JOX524304 JYR524297:JYT524304 KIN524297:KIP524304 KSJ524297:KSL524304 LCF524297:LCH524304 LMB524297:LMD524304 LVX524297:LVZ524304 MFT524297:MFV524304 MPP524297:MPR524304 MZL524297:MZN524304 NJH524297:NJJ524304 NTD524297:NTF524304 OCZ524297:ODB524304 OMV524297:OMX524304 OWR524297:OWT524304 PGN524297:PGP524304 PQJ524297:PQL524304 QAF524297:QAH524304 QKB524297:QKD524304 QTX524297:QTZ524304 RDT524297:RDV524304 RNP524297:RNR524304 RXL524297:RXN524304 SHH524297:SHJ524304 SRD524297:SRF524304 TAZ524297:TBB524304 TKV524297:TKX524304 TUR524297:TUT524304 UEN524297:UEP524304 UOJ524297:UOL524304 UYF524297:UYH524304 VIB524297:VID524304 VRX524297:VRZ524304 WBT524297:WBV524304 WLP524297:WLR524304 WVL524297:WVN524304 IZ589833:JB589840 SV589833:SX589840 ACR589833:ACT589840 AMN589833:AMP589840 AWJ589833:AWL589840 BGF589833:BGH589840 BQB589833:BQD589840 BZX589833:BZZ589840 CJT589833:CJV589840 CTP589833:CTR589840 DDL589833:DDN589840 DNH589833:DNJ589840 DXD589833:DXF589840 EGZ589833:EHB589840 EQV589833:EQX589840 FAR589833:FAT589840 FKN589833:FKP589840 FUJ589833:FUL589840 GEF589833:GEH589840 GOB589833:GOD589840 GXX589833:GXZ589840 HHT589833:HHV589840 HRP589833:HRR589840 IBL589833:IBN589840 ILH589833:ILJ589840 IVD589833:IVF589840 JEZ589833:JFB589840 JOV589833:JOX589840 JYR589833:JYT589840 KIN589833:KIP589840 KSJ589833:KSL589840 LCF589833:LCH589840 LMB589833:LMD589840 LVX589833:LVZ589840 MFT589833:MFV589840 MPP589833:MPR589840 MZL589833:MZN589840 NJH589833:NJJ589840 NTD589833:NTF589840 OCZ589833:ODB589840 OMV589833:OMX589840 OWR589833:OWT589840 PGN589833:PGP589840 PQJ589833:PQL589840 QAF589833:QAH589840 QKB589833:QKD589840 QTX589833:QTZ589840 RDT589833:RDV589840 RNP589833:RNR589840 RXL589833:RXN589840 SHH589833:SHJ589840 SRD589833:SRF589840 TAZ589833:TBB589840 TKV589833:TKX589840 TUR589833:TUT589840 UEN589833:UEP589840 UOJ589833:UOL589840 UYF589833:UYH589840 VIB589833:VID589840 VRX589833:VRZ589840 WBT589833:WBV589840 WLP589833:WLR589840 WVL589833:WVN589840 IZ655369:JB655376 SV655369:SX655376 ACR655369:ACT655376 AMN655369:AMP655376 AWJ655369:AWL655376 BGF655369:BGH655376 BQB655369:BQD655376 BZX655369:BZZ655376 CJT655369:CJV655376 CTP655369:CTR655376 DDL655369:DDN655376 DNH655369:DNJ655376 DXD655369:DXF655376 EGZ655369:EHB655376 EQV655369:EQX655376 FAR655369:FAT655376 FKN655369:FKP655376 FUJ655369:FUL655376 GEF655369:GEH655376 GOB655369:GOD655376 GXX655369:GXZ655376 HHT655369:HHV655376 HRP655369:HRR655376 IBL655369:IBN655376 ILH655369:ILJ655376 IVD655369:IVF655376 JEZ655369:JFB655376 JOV655369:JOX655376 JYR655369:JYT655376 KIN655369:KIP655376 KSJ655369:KSL655376 LCF655369:LCH655376 LMB655369:LMD655376 LVX655369:LVZ655376 MFT655369:MFV655376 MPP655369:MPR655376 MZL655369:MZN655376 NJH655369:NJJ655376 NTD655369:NTF655376 OCZ655369:ODB655376 OMV655369:OMX655376 OWR655369:OWT655376 PGN655369:PGP655376 PQJ655369:PQL655376 QAF655369:QAH655376 QKB655369:QKD655376 QTX655369:QTZ655376 RDT655369:RDV655376 RNP655369:RNR655376 RXL655369:RXN655376 SHH655369:SHJ655376 SRD655369:SRF655376 TAZ655369:TBB655376 TKV655369:TKX655376 TUR655369:TUT655376 UEN655369:UEP655376 UOJ655369:UOL655376 UYF655369:UYH655376 VIB655369:VID655376 VRX655369:VRZ655376 WBT655369:WBV655376 WLP655369:WLR655376 WVL655369:WVN655376 IZ720905:JB720912 SV720905:SX720912 ACR720905:ACT720912 AMN720905:AMP720912 AWJ720905:AWL720912 BGF720905:BGH720912 BQB720905:BQD720912 BZX720905:BZZ720912 CJT720905:CJV720912 CTP720905:CTR720912 DDL720905:DDN720912 DNH720905:DNJ720912 DXD720905:DXF720912 EGZ720905:EHB720912 EQV720905:EQX720912 FAR720905:FAT720912 FKN720905:FKP720912 FUJ720905:FUL720912 GEF720905:GEH720912 GOB720905:GOD720912 GXX720905:GXZ720912 HHT720905:HHV720912 HRP720905:HRR720912 IBL720905:IBN720912 ILH720905:ILJ720912 IVD720905:IVF720912 JEZ720905:JFB720912 JOV720905:JOX720912 JYR720905:JYT720912 KIN720905:KIP720912 KSJ720905:KSL720912 LCF720905:LCH720912 LMB720905:LMD720912 LVX720905:LVZ720912 MFT720905:MFV720912 MPP720905:MPR720912 MZL720905:MZN720912 NJH720905:NJJ720912 NTD720905:NTF720912 OCZ720905:ODB720912 OMV720905:OMX720912 OWR720905:OWT720912 PGN720905:PGP720912 PQJ720905:PQL720912 QAF720905:QAH720912 QKB720905:QKD720912 QTX720905:QTZ720912 RDT720905:RDV720912 RNP720905:RNR720912 RXL720905:RXN720912 SHH720905:SHJ720912 SRD720905:SRF720912 TAZ720905:TBB720912 TKV720905:TKX720912 TUR720905:TUT720912 UEN720905:UEP720912 UOJ720905:UOL720912 UYF720905:UYH720912 VIB720905:VID720912 VRX720905:VRZ720912 WBT720905:WBV720912 WLP720905:WLR720912 WVL720905:WVN720912 IZ786441:JB786448 SV786441:SX786448 ACR786441:ACT786448 AMN786441:AMP786448 AWJ786441:AWL786448 BGF786441:BGH786448 BQB786441:BQD786448 BZX786441:BZZ786448 CJT786441:CJV786448 CTP786441:CTR786448 DDL786441:DDN786448 DNH786441:DNJ786448 DXD786441:DXF786448 EGZ786441:EHB786448 EQV786441:EQX786448 FAR786441:FAT786448 FKN786441:FKP786448 FUJ786441:FUL786448 GEF786441:GEH786448 GOB786441:GOD786448 GXX786441:GXZ786448 HHT786441:HHV786448 HRP786441:HRR786448 IBL786441:IBN786448 ILH786441:ILJ786448 IVD786441:IVF786448 JEZ786441:JFB786448 JOV786441:JOX786448 JYR786441:JYT786448 KIN786441:KIP786448 KSJ786441:KSL786448 LCF786441:LCH786448 LMB786441:LMD786448 LVX786441:LVZ786448 MFT786441:MFV786448 MPP786441:MPR786448 MZL786441:MZN786448 NJH786441:NJJ786448 NTD786441:NTF786448 OCZ786441:ODB786448 OMV786441:OMX786448 OWR786441:OWT786448 PGN786441:PGP786448 PQJ786441:PQL786448 QAF786441:QAH786448 QKB786441:QKD786448 QTX786441:QTZ786448 RDT786441:RDV786448 RNP786441:RNR786448 RXL786441:RXN786448 SHH786441:SHJ786448 SRD786441:SRF786448 TAZ786441:TBB786448 TKV786441:TKX786448 TUR786441:TUT786448 UEN786441:UEP786448 UOJ786441:UOL786448 UYF786441:UYH786448 VIB786441:VID786448 VRX786441:VRZ786448 WBT786441:WBV786448 WLP786441:WLR786448 WVL786441:WVN786448 IZ851977:JB851984 SV851977:SX851984 ACR851977:ACT851984 AMN851977:AMP851984 AWJ851977:AWL851984 BGF851977:BGH851984 BQB851977:BQD851984 BZX851977:BZZ851984 CJT851977:CJV851984 CTP851977:CTR851984 DDL851977:DDN851984 DNH851977:DNJ851984 DXD851977:DXF851984 EGZ851977:EHB851984 EQV851977:EQX851984 FAR851977:FAT851984 FKN851977:FKP851984 FUJ851977:FUL851984 GEF851977:GEH851984 GOB851977:GOD851984 GXX851977:GXZ851984 HHT851977:HHV851984 HRP851977:HRR851984 IBL851977:IBN851984 ILH851977:ILJ851984 IVD851977:IVF851984 JEZ851977:JFB851984 JOV851977:JOX851984 JYR851977:JYT851984 KIN851977:KIP851984 KSJ851977:KSL851984 LCF851977:LCH851984 LMB851977:LMD851984 LVX851977:LVZ851984 MFT851977:MFV851984 MPP851977:MPR851984 MZL851977:MZN851984 NJH851977:NJJ851984 NTD851977:NTF851984 OCZ851977:ODB851984 OMV851977:OMX851984 OWR851977:OWT851984 PGN851977:PGP851984 PQJ851977:PQL851984 QAF851977:QAH851984 QKB851977:QKD851984 QTX851977:QTZ851984 RDT851977:RDV851984 RNP851977:RNR851984 RXL851977:RXN851984 SHH851977:SHJ851984 SRD851977:SRF851984 TAZ851977:TBB851984 TKV851977:TKX851984 TUR851977:TUT851984 UEN851977:UEP851984 UOJ851977:UOL851984 UYF851977:UYH851984 VIB851977:VID851984 VRX851977:VRZ851984 WBT851977:WBV851984 WLP851977:WLR851984 WVL851977:WVN851984 IZ917513:JB917520 SV917513:SX917520 ACR917513:ACT917520 AMN917513:AMP917520 AWJ917513:AWL917520 BGF917513:BGH917520 BQB917513:BQD917520 BZX917513:BZZ917520 CJT917513:CJV917520 CTP917513:CTR917520 DDL917513:DDN917520 DNH917513:DNJ917520 DXD917513:DXF917520 EGZ917513:EHB917520 EQV917513:EQX917520 FAR917513:FAT917520 FKN917513:FKP917520 FUJ917513:FUL917520 GEF917513:GEH917520 GOB917513:GOD917520 GXX917513:GXZ917520 HHT917513:HHV917520 HRP917513:HRR917520 IBL917513:IBN917520 ILH917513:ILJ917520 IVD917513:IVF917520 JEZ917513:JFB917520 JOV917513:JOX917520 JYR917513:JYT917520 KIN917513:KIP917520 KSJ917513:KSL917520 LCF917513:LCH917520 LMB917513:LMD917520 LVX917513:LVZ917520 MFT917513:MFV917520 MPP917513:MPR917520 MZL917513:MZN917520 NJH917513:NJJ917520 NTD917513:NTF917520 OCZ917513:ODB917520 OMV917513:OMX917520 OWR917513:OWT917520 PGN917513:PGP917520 PQJ917513:PQL917520 QAF917513:QAH917520 QKB917513:QKD917520 QTX917513:QTZ917520 RDT917513:RDV917520 RNP917513:RNR917520 RXL917513:RXN917520 SHH917513:SHJ917520 SRD917513:SRF917520 TAZ917513:TBB917520 TKV917513:TKX917520 TUR917513:TUT917520 UEN917513:UEP917520 UOJ917513:UOL917520 UYF917513:UYH917520 VIB917513:VID917520 VRX917513:VRZ917520 WBT917513:WBV917520 WLP917513:WLR917520 WVL917513:WVN917520 IZ983049:JB983056 SV983049:SX983056 ACR983049:ACT983056 AMN983049:AMP983056 AWJ983049:AWL983056 BGF983049:BGH983056 BQB983049:BQD983056 BZX983049:BZZ983056 CJT983049:CJV983056 CTP983049:CTR983056 DDL983049:DDN983056 DNH983049:DNJ983056 DXD983049:DXF983056 EGZ983049:EHB983056 EQV983049:EQX983056 FAR983049:FAT983056 FKN983049:FKP983056 FUJ983049:FUL983056 GEF983049:GEH983056 GOB983049:GOD983056 GXX983049:GXZ983056 HHT983049:HHV983056 HRP983049:HRR983056 IBL983049:IBN983056 ILH983049:ILJ983056 IVD983049:IVF983056 JEZ983049:JFB983056 JOV983049:JOX983056 JYR983049:JYT983056 KIN983049:KIP983056 KSJ983049:KSL983056 LCF983049:LCH983056 LMB983049:LMD983056 LVX983049:LVZ983056 MFT983049:MFV983056 MPP983049:MPR983056 MZL983049:MZN983056 NJH983049:NJJ983056 NTD983049:NTF983056 OCZ983049:ODB983056 OMV983049:OMX983056 OWR983049:OWT983056 PGN983049:PGP983056 PQJ983049:PQL983056 QAF983049:QAH983056 QKB983049:QKD983056 QTX983049:QTZ983056 RDT983049:RDV983056 RNP983049:RNR983056 RXL983049:RXN983056 SHH983049:SHJ983056 SRD983049:SRF983056 TAZ983049:TBB983056 TKV983049:TKX983056 TUR983049:TUT983056 UEN983049:UEP983056 UOJ983049:UOL983056 UYF983049:UYH983056 VIB983049:VID983056 VRX983049:VRZ983056 WBT983049:WBV983056 WLP983049:WLR983056 WVL983049:WVN983056 D18 IY18 SU18 ACQ18 AMM18 AWI18 BGE18 BQA18 BZW18 CJS18 CTO18 DDK18 DNG18 DXC18 EGY18 EQU18 FAQ18 FKM18 FUI18 GEE18 GOA18 GXW18 HHS18 HRO18 IBK18 ILG18 IVC18 JEY18 JOU18 JYQ18 KIM18 KSI18 LCE18 LMA18 LVW18 MFS18 MPO18 MZK18 NJG18 NTC18 OCY18 OMU18 OWQ18 PGM18 PQI18 QAE18 QKA18 QTW18 RDS18 RNO18 RXK18 SHG18 SRC18 TAY18 TKU18 TUQ18 UEM18 UOI18 UYE18 VIA18 VRW18 WBS18 WLO18 WVK18 C65557 IY65558 SU65558 ACQ65558 AMM65558 AWI65558 BGE65558 BQA65558 BZW65558 CJS65558 CTO65558 DDK65558 DNG65558 DXC65558 EGY65558 EQU65558 FAQ65558 FKM65558 FUI65558 GEE65558 GOA65558 GXW65558 HHS65558 HRO65558 IBK65558 ILG65558 IVC65558 JEY65558 JOU65558 JYQ65558 KIM65558 KSI65558 LCE65558 LMA65558 LVW65558 MFS65558 MPO65558 MZK65558 NJG65558 NTC65558 OCY65558 OMU65558 OWQ65558 PGM65558 PQI65558 QAE65558 QKA65558 QTW65558 RDS65558 RNO65558 RXK65558 SHG65558 SRC65558 TAY65558 TKU65558 TUQ65558 UEM65558 UOI65558 UYE65558 VIA65558 VRW65558 WBS65558 WLO65558 WVK65558 C131093 IY131094 SU131094 ACQ131094 AMM131094 AWI131094 BGE131094 BQA131094 BZW131094 CJS131094 CTO131094 DDK131094 DNG131094 DXC131094 EGY131094 EQU131094 FAQ131094 FKM131094 FUI131094 GEE131094 GOA131094 GXW131094 HHS131094 HRO131094 IBK131094 ILG131094 IVC131094 JEY131094 JOU131094 JYQ131094 KIM131094 KSI131094 LCE131094 LMA131094 LVW131094 MFS131094 MPO131094 MZK131094 NJG131094 NTC131094 OCY131094 OMU131094 OWQ131094 PGM131094 PQI131094 QAE131094 QKA131094 QTW131094 RDS131094 RNO131094 RXK131094 SHG131094 SRC131094 TAY131094 TKU131094 TUQ131094 UEM131094 UOI131094 UYE131094 VIA131094 VRW131094 WBS131094 WLO131094 WVK131094 C196629 IY196630 SU196630 ACQ196630 AMM196630 AWI196630 BGE196630 BQA196630 BZW196630 CJS196630 CTO196630 DDK196630 DNG196630 DXC196630 EGY196630 EQU196630 FAQ196630 FKM196630 FUI196630 GEE196630 GOA196630 GXW196630 HHS196630 HRO196630 IBK196630 ILG196630 IVC196630 JEY196630 JOU196630 JYQ196630 KIM196630 KSI196630 LCE196630 LMA196630 LVW196630 MFS196630 MPO196630 MZK196630 NJG196630 NTC196630 OCY196630 OMU196630 OWQ196630 PGM196630 PQI196630 QAE196630 QKA196630 QTW196630 RDS196630 RNO196630 RXK196630 SHG196630 SRC196630 TAY196630 TKU196630 TUQ196630 UEM196630 UOI196630 UYE196630 VIA196630 VRW196630 WBS196630 WLO196630 WVK196630 C262165 IY262166 SU262166 ACQ262166 AMM262166 AWI262166 BGE262166 BQA262166 BZW262166 CJS262166 CTO262166 DDK262166 DNG262166 DXC262166 EGY262166 EQU262166 FAQ262166 FKM262166 FUI262166 GEE262166 GOA262166 GXW262166 HHS262166 HRO262166 IBK262166 ILG262166 IVC262166 JEY262166 JOU262166 JYQ262166 KIM262166 KSI262166 LCE262166 LMA262166 LVW262166 MFS262166 MPO262166 MZK262166 NJG262166 NTC262166 OCY262166 OMU262166 OWQ262166 PGM262166 PQI262166 QAE262166 QKA262166 QTW262166 RDS262166 RNO262166 RXK262166 SHG262166 SRC262166 TAY262166 TKU262166 TUQ262166 UEM262166 UOI262166 UYE262166 VIA262166 VRW262166 WBS262166 WLO262166 WVK262166 C327701 IY327702 SU327702 ACQ327702 AMM327702 AWI327702 BGE327702 BQA327702 BZW327702 CJS327702 CTO327702 DDK327702 DNG327702 DXC327702 EGY327702 EQU327702 FAQ327702 FKM327702 FUI327702 GEE327702 GOA327702 GXW327702 HHS327702 HRO327702 IBK327702 ILG327702 IVC327702 JEY327702 JOU327702 JYQ327702 KIM327702 KSI327702 LCE327702 LMA327702 LVW327702 MFS327702 MPO327702 MZK327702 NJG327702 NTC327702 OCY327702 OMU327702 OWQ327702 PGM327702 PQI327702 QAE327702 QKA327702 QTW327702 RDS327702 RNO327702 RXK327702 SHG327702 SRC327702 TAY327702 TKU327702 TUQ327702 UEM327702 UOI327702 UYE327702 VIA327702 VRW327702 WBS327702 WLO327702 WVK327702 C393237 IY393238 SU393238 ACQ393238 AMM393238 AWI393238 BGE393238 BQA393238 BZW393238 CJS393238 CTO393238 DDK393238 DNG393238 DXC393238 EGY393238 EQU393238 FAQ393238 FKM393238 FUI393238 GEE393238 GOA393238 GXW393238 HHS393238 HRO393238 IBK393238 ILG393238 IVC393238 JEY393238 JOU393238 JYQ393238 KIM393238 KSI393238 LCE393238 LMA393238 LVW393238 MFS393238 MPO393238 MZK393238 NJG393238 NTC393238 OCY393238 OMU393238 OWQ393238 PGM393238 PQI393238 QAE393238 QKA393238 QTW393238 RDS393238 RNO393238 RXK393238 SHG393238 SRC393238 TAY393238 TKU393238 TUQ393238 UEM393238 UOI393238 UYE393238 VIA393238 VRW393238 WBS393238 WLO393238 WVK393238 C458773 IY458774 SU458774 ACQ458774 AMM458774 AWI458774 BGE458774 BQA458774 BZW458774 CJS458774 CTO458774 DDK458774 DNG458774 DXC458774 EGY458774 EQU458774 FAQ458774 FKM458774 FUI458774 GEE458774 GOA458774 GXW458774 HHS458774 HRO458774 IBK458774 ILG458774 IVC458774 JEY458774 JOU458774 JYQ458774 KIM458774 KSI458774 LCE458774 LMA458774 LVW458774 MFS458774 MPO458774 MZK458774 NJG458774 NTC458774 OCY458774 OMU458774 OWQ458774 PGM458774 PQI458774 QAE458774 QKA458774 QTW458774 RDS458774 RNO458774 RXK458774 SHG458774 SRC458774 TAY458774 TKU458774 TUQ458774 UEM458774 UOI458774 UYE458774 VIA458774 VRW458774 WBS458774 WLO458774 WVK458774 C524309 IY524310 SU524310 ACQ524310 AMM524310 AWI524310 BGE524310 BQA524310 BZW524310 CJS524310 CTO524310 DDK524310 DNG524310 DXC524310 EGY524310 EQU524310 FAQ524310 FKM524310 FUI524310 GEE524310 GOA524310 GXW524310 HHS524310 HRO524310 IBK524310 ILG524310 IVC524310 JEY524310 JOU524310 JYQ524310 KIM524310 KSI524310 LCE524310 LMA524310 LVW524310 MFS524310 MPO524310 MZK524310 NJG524310 NTC524310 OCY524310 OMU524310 OWQ524310 PGM524310 PQI524310 QAE524310 QKA524310 QTW524310 RDS524310 RNO524310 RXK524310 SHG524310 SRC524310 TAY524310 TKU524310 TUQ524310 UEM524310 UOI524310 UYE524310 VIA524310 VRW524310 WBS524310 WLO524310 WVK524310 C589845 IY589846 SU589846 ACQ589846 AMM589846 AWI589846 BGE589846 BQA589846 BZW589846 CJS589846 CTO589846 DDK589846 DNG589846 DXC589846 EGY589846 EQU589846 FAQ589846 FKM589846 FUI589846 GEE589846 GOA589846 GXW589846 HHS589846 HRO589846 IBK589846 ILG589846 IVC589846 JEY589846 JOU589846 JYQ589846 KIM589846 KSI589846 LCE589846 LMA589846 LVW589846 MFS589846 MPO589846 MZK589846 NJG589846 NTC589846 OCY589846 OMU589846 OWQ589846 PGM589846 PQI589846 QAE589846 QKA589846 QTW589846 RDS589846 RNO589846 RXK589846 SHG589846 SRC589846 TAY589846 TKU589846 TUQ589846 UEM589846 UOI589846 UYE589846 VIA589846 VRW589846 WBS589846 WLO589846 WVK589846 C655381 IY655382 SU655382 ACQ655382 AMM655382 AWI655382 BGE655382 BQA655382 BZW655382 CJS655382 CTO655382 DDK655382 DNG655382 DXC655382 EGY655382 EQU655382 FAQ655382 FKM655382 FUI655382 GEE655382 GOA655382 GXW655382 HHS655382 HRO655382 IBK655382 ILG655382 IVC655382 JEY655382 JOU655382 JYQ655382 KIM655382 KSI655382 LCE655382 LMA655382 LVW655382 MFS655382 MPO655382 MZK655382 NJG655382 NTC655382 OCY655382 OMU655382 OWQ655382 PGM655382 PQI655382 QAE655382 QKA655382 QTW655382 RDS655382 RNO655382 RXK655382 SHG655382 SRC655382 TAY655382 TKU655382 TUQ655382 UEM655382 UOI655382 UYE655382 VIA655382 VRW655382 WBS655382 WLO655382 WVK655382 C720917 IY720918 SU720918 ACQ720918 AMM720918 AWI720918 BGE720918 BQA720918 BZW720918 CJS720918 CTO720918 DDK720918 DNG720918 DXC720918 EGY720918 EQU720918 FAQ720918 FKM720918 FUI720918 GEE720918 GOA720918 GXW720918 HHS720918 HRO720918 IBK720918 ILG720918 IVC720918 JEY720918 JOU720918 JYQ720918 KIM720918 KSI720918 LCE720918 LMA720918 LVW720918 MFS720918 MPO720918 MZK720918 NJG720918 NTC720918 OCY720918 OMU720918 OWQ720918 PGM720918 PQI720918 QAE720918 QKA720918 QTW720918 RDS720918 RNO720918 RXK720918 SHG720918 SRC720918 TAY720918 TKU720918 TUQ720918 UEM720918 UOI720918 UYE720918 VIA720918 VRW720918 WBS720918 WLO720918 WVK720918 C786453 IY786454 SU786454 ACQ786454 AMM786454 AWI786454 BGE786454 BQA786454 BZW786454 CJS786454 CTO786454 DDK786454 DNG786454 DXC786454 EGY786454 EQU786454 FAQ786454 FKM786454 FUI786454 GEE786454 GOA786454 GXW786454 HHS786454 HRO786454 IBK786454 ILG786454 IVC786454 JEY786454 JOU786454 JYQ786454 KIM786454 KSI786454 LCE786454 LMA786454 LVW786454 MFS786454 MPO786454 MZK786454 NJG786454 NTC786454 OCY786454 OMU786454 OWQ786454 PGM786454 PQI786454 QAE786454 QKA786454 QTW786454 RDS786454 RNO786454 RXK786454 SHG786454 SRC786454 TAY786454 TKU786454 TUQ786454 UEM786454 UOI786454 UYE786454 VIA786454 VRW786454 WBS786454 WLO786454 WVK786454 C851989 IY851990 SU851990 ACQ851990 AMM851990 AWI851990 BGE851990 BQA851990 BZW851990 CJS851990 CTO851990 DDK851990 DNG851990 DXC851990 EGY851990 EQU851990 FAQ851990 FKM851990 FUI851990 GEE851990 GOA851990 GXW851990 HHS851990 HRO851990 IBK851990 ILG851990 IVC851990 JEY851990 JOU851990 JYQ851990 KIM851990 KSI851990 LCE851990 LMA851990 LVW851990 MFS851990 MPO851990 MZK851990 NJG851990 NTC851990 OCY851990 OMU851990 OWQ851990 PGM851990 PQI851990 QAE851990 QKA851990 QTW851990 RDS851990 RNO851990 RXK851990 SHG851990 SRC851990 TAY851990 TKU851990 TUQ851990 UEM851990 UOI851990 UYE851990 VIA851990 VRW851990 WBS851990 WLO851990 WVK851990 C917525 IY917526 SU917526 ACQ917526 AMM917526 AWI917526 BGE917526 BQA917526 BZW917526 CJS917526 CTO917526 DDK917526 DNG917526 DXC917526 EGY917526 EQU917526 FAQ917526 FKM917526 FUI917526 GEE917526 GOA917526 GXW917526 HHS917526 HRO917526 IBK917526 ILG917526 IVC917526 JEY917526 JOU917526 JYQ917526 KIM917526 KSI917526 LCE917526 LMA917526 LVW917526 MFS917526 MPO917526 MZK917526 NJG917526 NTC917526 OCY917526 OMU917526 OWQ917526 PGM917526 PQI917526 QAE917526 QKA917526 QTW917526 RDS917526 RNO917526 RXK917526 SHG917526 SRC917526 TAY917526 TKU917526 TUQ917526 UEM917526 UOI917526 UYE917526 VIA917526 VRW917526 WBS917526 WLO917526 WVK917526 C983061 IY983062 SU983062 ACQ983062 AMM983062 AWI983062 BGE983062 BQA983062 BZW983062 CJS983062 CTO983062 DDK983062 DNG983062 DXC983062 EGY983062 EQU983062 FAQ983062 FKM983062 FUI983062 GEE983062 GOA983062 GXW983062 HHS983062 HRO983062 IBK983062 ILG983062 IVC983062 JEY983062 JOU983062 JYQ983062 KIM983062 KSI983062 LCE983062 LMA983062 LVW983062 MFS983062 MPO983062 MZK983062 NJG983062 NTC983062 OCY983062 OMU983062 OWQ983062 PGM983062 PQI983062 QAE983062 QKA983062 QTW983062 RDS983062 RNO983062 RXK983062 SHG983062 SRC983062 TAY983062 TKU983062 TUQ983062 UEM983062 UOI983062 UYE983062 VIA983062 VRW983062 WBS983062 WLO983062 WVK983062 D983048:F983055 D917512:F917519 D851976:F851983 D786440:F786447 D720904:F720911 D655368:F655375 D589832:F589839 D524296:F524303 D458760:F458767 D393224:F393231 D327688:F327695 D262152:F262159 D196616:F196623 D131080:F131087 D5:F12" xr:uid="{00000000-0002-0000-0000-000001000000}">
      <formula1>0</formula1>
    </dataValidation>
    <dataValidation type="list" allowBlank="1" showInputMessage="1" showErrorMessage="1" sqref="C18" xr:uid="{00000000-0002-0000-0000-000002000000}">
      <formula1>"給与,年金(65歳以上),年金(65歳未満),その他"</formula1>
    </dataValidation>
  </dataValidations>
  <pageMargins left="0.7" right="0.7" top="0.75" bottom="0.75" header="0.3" footer="0.3"/>
  <pageSetup paperSize="9" scale="55"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sheetPr>
  <dimension ref="B1:M24"/>
  <sheetViews>
    <sheetView zoomScale="80" zoomScaleNormal="80" workbookViewId="0">
      <selection activeCell="F2" sqref="F2"/>
    </sheetView>
  </sheetViews>
  <sheetFormatPr defaultColWidth="9" defaultRowHeight="19.5" x14ac:dyDescent="0.15"/>
  <cols>
    <col min="1" max="1" width="6.375" style="5" customWidth="1"/>
    <col min="2" max="2" width="14.625" style="5" customWidth="1"/>
    <col min="3" max="3" width="3.75" style="5" bestFit="1" customWidth="1"/>
    <col min="4" max="4" width="14.25" style="5" bestFit="1" customWidth="1"/>
    <col min="5" max="5" width="3.75" style="5" bestFit="1" customWidth="1"/>
    <col min="6" max="6" width="20.375" style="5" customWidth="1"/>
    <col min="7" max="7" width="3.75" style="5" bestFit="1" customWidth="1"/>
    <col min="8" max="8" width="51.875" style="5" bestFit="1" customWidth="1"/>
    <col min="9" max="9" width="9" style="5"/>
    <col min="10" max="10" width="9" style="121"/>
    <col min="11" max="11" width="9" style="119"/>
    <col min="12" max="13" width="9" style="121"/>
    <col min="14" max="16384" width="9" style="5"/>
  </cols>
  <sheetData>
    <row r="1" spans="2:8" ht="20.25" thickBot="1" x14ac:dyDescent="0.2"/>
    <row r="2" spans="2:8" ht="30" customHeight="1" thickBot="1" x14ac:dyDescent="0.2">
      <c r="B2" s="204" t="s">
        <v>0</v>
      </c>
      <c r="C2" s="205"/>
      <c r="D2" s="205"/>
      <c r="E2" s="206"/>
      <c r="F2" s="1"/>
      <c r="G2" s="6" t="s">
        <v>1</v>
      </c>
      <c r="H2" s="5" t="s">
        <v>3</v>
      </c>
    </row>
    <row r="3" spans="2:8" ht="30" customHeight="1" thickBot="1" x14ac:dyDescent="0.2">
      <c r="B3" s="204" t="s">
        <v>96</v>
      </c>
      <c r="C3" s="205"/>
      <c r="D3" s="205"/>
      <c r="E3" s="206"/>
      <c r="F3" s="158">
        <f>IFERROR(SUM(F14:F23,H11),"")</f>
        <v>0</v>
      </c>
      <c r="G3" s="6" t="s">
        <v>93</v>
      </c>
    </row>
    <row r="4" spans="2:8" ht="22.5" customHeight="1" x14ac:dyDescent="0.15"/>
    <row r="5" spans="2:8" ht="20.25" thickBot="1" x14ac:dyDescent="0.2">
      <c r="B5" s="5" t="s">
        <v>94</v>
      </c>
    </row>
    <row r="6" spans="2:8" x14ac:dyDescent="0.15">
      <c r="B6" s="207" t="s">
        <v>95</v>
      </c>
      <c r="C6" s="208"/>
      <c r="D6" s="208"/>
      <c r="E6" s="208"/>
      <c r="F6" s="193" t="s">
        <v>129</v>
      </c>
      <c r="G6" s="194"/>
      <c r="H6" s="184" t="s">
        <v>86</v>
      </c>
    </row>
    <row r="7" spans="2:8" x14ac:dyDescent="0.15">
      <c r="B7" s="209" t="s">
        <v>83</v>
      </c>
      <c r="C7" s="210"/>
      <c r="D7" s="210"/>
      <c r="E7" s="210"/>
      <c r="F7" s="195" t="s">
        <v>127</v>
      </c>
      <c r="G7" s="196"/>
      <c r="H7" s="185"/>
    </row>
    <row r="8" spans="2:8" x14ac:dyDescent="0.15">
      <c r="B8" s="189" t="s">
        <v>84</v>
      </c>
      <c r="C8" s="190"/>
      <c r="D8" s="190"/>
      <c r="E8" s="190"/>
      <c r="F8" s="195" t="s">
        <v>127</v>
      </c>
      <c r="G8" s="196"/>
      <c r="H8" s="185"/>
    </row>
    <row r="9" spans="2:8" ht="20.25" thickBot="1" x14ac:dyDescent="0.2">
      <c r="B9" s="191" t="s">
        <v>85</v>
      </c>
      <c r="C9" s="192"/>
      <c r="D9" s="192"/>
      <c r="E9" s="192"/>
      <c r="F9" s="197" t="s">
        <v>127</v>
      </c>
      <c r="G9" s="198"/>
      <c r="H9" s="185"/>
    </row>
    <row r="10" spans="2:8" ht="21" thickTop="1" thickBot="1" x14ac:dyDescent="0.2">
      <c r="B10" s="211" t="s">
        <v>82</v>
      </c>
      <c r="C10" s="212"/>
      <c r="D10" s="212"/>
      <c r="E10" s="212"/>
      <c r="F10" s="187" t="str">
        <f>IF(F2&lt;8500000,"非該当",IF(AND(F6="",F7="",F8="",F9=""),"",IF(AND(F6="非該当",F7="なし",F8="なし",F9="なし"),"非該当",IF(F2&gt;10000000,150000,(F2-8500000)*0.1))))</f>
        <v>非該当</v>
      </c>
      <c r="G10" s="188"/>
      <c r="H10" s="186"/>
    </row>
    <row r="11" spans="2:8" ht="20.25" thickBot="1" x14ac:dyDescent="0.2">
      <c r="B11" s="199" t="s">
        <v>87</v>
      </c>
      <c r="C11" s="200"/>
      <c r="D11" s="200"/>
      <c r="E11" s="200"/>
      <c r="F11" s="200"/>
      <c r="G11" s="201"/>
      <c r="H11" s="153" t="str">
        <f>IFERROR(IF(F10="非該当",$F$24,IF(F10="非該当","",F24-F10)),"")</f>
        <v/>
      </c>
    </row>
    <row r="12" spans="2:8" ht="20.25" thickBot="1" x14ac:dyDescent="0.2"/>
    <row r="13" spans="2:8" ht="30" customHeight="1" x14ac:dyDescent="0.15">
      <c r="B13" s="202" t="s">
        <v>4</v>
      </c>
      <c r="C13" s="203"/>
      <c r="D13" s="203"/>
      <c r="E13" s="203"/>
      <c r="F13" s="202" t="s">
        <v>5</v>
      </c>
      <c r="G13" s="203"/>
      <c r="H13" s="18" t="s">
        <v>6</v>
      </c>
    </row>
    <row r="14" spans="2:8" ht="30" customHeight="1" x14ac:dyDescent="0.15">
      <c r="B14" s="3"/>
      <c r="C14" s="7" t="s">
        <v>2</v>
      </c>
      <c r="D14" s="8">
        <v>550999</v>
      </c>
      <c r="E14" s="8" t="s">
        <v>1</v>
      </c>
      <c r="F14" s="2" t="str">
        <f>IF(AND(F2&lt;=D14,F2&lt;&gt;""),0,"")</f>
        <v/>
      </c>
      <c r="G14" s="9" t="s">
        <v>1</v>
      </c>
      <c r="H14" s="10" t="s">
        <v>7</v>
      </c>
    </row>
    <row r="15" spans="2:8" ht="30" customHeight="1" x14ac:dyDescent="0.15">
      <c r="B15" s="2">
        <v>551000</v>
      </c>
      <c r="C15" s="11" t="s">
        <v>2</v>
      </c>
      <c r="D15" s="12">
        <v>1618999</v>
      </c>
      <c r="E15" s="12" t="s">
        <v>1</v>
      </c>
      <c r="F15" s="3" t="str">
        <f>IF(AND($F$2&lt;=D15,$F$2&gt;=B15),F2-550000,"")</f>
        <v/>
      </c>
      <c r="G15" s="13" t="s">
        <v>1</v>
      </c>
      <c r="H15" s="10" t="s">
        <v>72</v>
      </c>
    </row>
    <row r="16" spans="2:8" ht="30" customHeight="1" x14ac:dyDescent="0.15">
      <c r="B16" s="3">
        <v>1619000</v>
      </c>
      <c r="C16" s="7" t="s">
        <v>2</v>
      </c>
      <c r="D16" s="8">
        <v>1619999</v>
      </c>
      <c r="E16" s="8" t="s">
        <v>1</v>
      </c>
      <c r="F16" s="2" t="str">
        <f>IF(AND($F$2&lt;=D16,$F$2&gt;=B16),1069000,"")</f>
        <v/>
      </c>
      <c r="G16" s="9" t="s">
        <v>1</v>
      </c>
      <c r="H16" s="10" t="s">
        <v>73</v>
      </c>
    </row>
    <row r="17" spans="2:8" ht="30" customHeight="1" x14ac:dyDescent="0.15">
      <c r="B17" s="2">
        <v>1620000</v>
      </c>
      <c r="C17" s="11" t="s">
        <v>2</v>
      </c>
      <c r="D17" s="12">
        <v>1621999</v>
      </c>
      <c r="E17" s="12" t="s">
        <v>1</v>
      </c>
      <c r="F17" s="3" t="str">
        <f>IF(AND($F$2&lt;=D17,$F$2&gt;=B17),1070000,"")</f>
        <v/>
      </c>
      <c r="G17" s="13" t="s">
        <v>1</v>
      </c>
      <c r="H17" s="10" t="s">
        <v>74</v>
      </c>
    </row>
    <row r="18" spans="2:8" ht="30" customHeight="1" x14ac:dyDescent="0.15">
      <c r="B18" s="3">
        <v>1622000</v>
      </c>
      <c r="C18" s="7" t="s">
        <v>2</v>
      </c>
      <c r="D18" s="8">
        <v>1623999</v>
      </c>
      <c r="E18" s="8" t="s">
        <v>1</v>
      </c>
      <c r="F18" s="2" t="str">
        <f>IF(AND($F$2&lt;=D18,$F$2&gt;=B18),1072000,"")</f>
        <v/>
      </c>
      <c r="G18" s="9" t="s">
        <v>1</v>
      </c>
      <c r="H18" s="10" t="s">
        <v>75</v>
      </c>
    </row>
    <row r="19" spans="2:8" ht="30" customHeight="1" x14ac:dyDescent="0.15">
      <c r="B19" s="2">
        <v>1624000</v>
      </c>
      <c r="C19" s="11" t="s">
        <v>2</v>
      </c>
      <c r="D19" s="12">
        <v>1627999</v>
      </c>
      <c r="E19" s="12" t="s">
        <v>1</v>
      </c>
      <c r="F19" s="3" t="str">
        <f>IF(AND($F$2&lt;=D19,$F$2&gt;=B19),1074000,"")</f>
        <v/>
      </c>
      <c r="G19" s="13" t="s">
        <v>1</v>
      </c>
      <c r="H19" s="10" t="s">
        <v>76</v>
      </c>
    </row>
    <row r="20" spans="2:8" ht="30" customHeight="1" x14ac:dyDescent="0.15">
      <c r="B20" s="3">
        <v>1628000</v>
      </c>
      <c r="C20" s="7" t="s">
        <v>2</v>
      </c>
      <c r="D20" s="8">
        <v>1799999</v>
      </c>
      <c r="E20" s="8" t="s">
        <v>1</v>
      </c>
      <c r="F20" s="2" t="str">
        <f>IF(AND($F$2&lt;=D20,$F$2&gt;=B20),(ROUNDDOWN(F2/4,-3)*2.4)+100000,"")</f>
        <v/>
      </c>
      <c r="G20" s="9" t="s">
        <v>1</v>
      </c>
      <c r="H20" s="10" t="s">
        <v>77</v>
      </c>
    </row>
    <row r="21" spans="2:8" ht="30" customHeight="1" x14ac:dyDescent="0.15">
      <c r="B21" s="2">
        <v>1800000</v>
      </c>
      <c r="C21" s="11" t="s">
        <v>2</v>
      </c>
      <c r="D21" s="12">
        <v>3599999</v>
      </c>
      <c r="E21" s="12" t="s">
        <v>1</v>
      </c>
      <c r="F21" s="3" t="str">
        <f>IF(AND($F$2&lt;=D21,$F$2&gt;=B21),(ROUNDDOWN(F2/4,-3)*2.8)-80000,"")</f>
        <v/>
      </c>
      <c r="G21" s="13" t="s">
        <v>1</v>
      </c>
      <c r="H21" s="10" t="s">
        <v>78</v>
      </c>
    </row>
    <row r="22" spans="2:8" ht="30" customHeight="1" x14ac:dyDescent="0.15">
      <c r="B22" s="3">
        <v>3600000</v>
      </c>
      <c r="C22" s="7" t="s">
        <v>2</v>
      </c>
      <c r="D22" s="8">
        <v>6599999</v>
      </c>
      <c r="E22" s="8" t="s">
        <v>1</v>
      </c>
      <c r="F22" s="2" t="str">
        <f>IF(AND($F$2&lt;=D22,$F$2&gt;=B22),(ROUNDDOWN(F2/4,-3)*3.2)-440000,"")</f>
        <v/>
      </c>
      <c r="G22" s="9" t="s">
        <v>1</v>
      </c>
      <c r="H22" s="10" t="s">
        <v>79</v>
      </c>
    </row>
    <row r="23" spans="2:8" ht="30" customHeight="1" x14ac:dyDescent="0.15">
      <c r="B23" s="2">
        <v>6600000</v>
      </c>
      <c r="C23" s="11" t="s">
        <v>2</v>
      </c>
      <c r="D23" s="12">
        <v>8499999</v>
      </c>
      <c r="E23" s="12" t="s">
        <v>1</v>
      </c>
      <c r="F23" s="3" t="str">
        <f>IF(AND($F$2&gt;=B23,$F$2&lt;=D23),(F2*0.9)-1100000,"")</f>
        <v/>
      </c>
      <c r="G23" s="13" t="s">
        <v>1</v>
      </c>
      <c r="H23" s="10" t="s">
        <v>80</v>
      </c>
    </row>
    <row r="24" spans="2:8" ht="30" customHeight="1" thickBot="1" x14ac:dyDescent="0.2">
      <c r="B24" s="4">
        <v>8500000</v>
      </c>
      <c r="C24" s="15" t="s">
        <v>2</v>
      </c>
      <c r="D24" s="14"/>
      <c r="E24" s="14"/>
      <c r="F24" s="120" t="str">
        <f>IF($F$2&gt;=B24,F2-1950000,"")</f>
        <v/>
      </c>
      <c r="G24" s="16" t="s">
        <v>1</v>
      </c>
      <c r="H24" s="17" t="s">
        <v>81</v>
      </c>
    </row>
  </sheetData>
  <sheetProtection selectLockedCells="1"/>
  <mergeCells count="16">
    <mergeCell ref="B11:G11"/>
    <mergeCell ref="F13:G13"/>
    <mergeCell ref="B2:E2"/>
    <mergeCell ref="B13:E13"/>
    <mergeCell ref="B6:E6"/>
    <mergeCell ref="B7:E7"/>
    <mergeCell ref="B10:E10"/>
    <mergeCell ref="B3:E3"/>
    <mergeCell ref="H6:H10"/>
    <mergeCell ref="F10:G10"/>
    <mergeCell ref="B8:E8"/>
    <mergeCell ref="B9:E9"/>
    <mergeCell ref="F6:G6"/>
    <mergeCell ref="F7:G7"/>
    <mergeCell ref="F8:G8"/>
    <mergeCell ref="F9:G9"/>
  </mergeCells>
  <phoneticPr fontId="1"/>
  <conditionalFormatting sqref="F6:G9">
    <cfRule type="expression" dxfId="1" priority="1">
      <formula>$F$2&lt;8500000</formula>
    </cfRule>
    <cfRule type="expression" dxfId="0" priority="2">
      <formula>$F$24&gt;6549999</formula>
    </cfRule>
  </conditionalFormatting>
  <dataValidations count="2">
    <dataValidation type="list" allowBlank="1" showInputMessage="1" showErrorMessage="1" sqref="F7:G9" xr:uid="{00000000-0002-0000-0100-000000000000}">
      <formula1>"なし,あり"</formula1>
    </dataValidation>
    <dataValidation type="list" allowBlank="1" showInputMessage="1" showErrorMessage="1" sqref="F6:G6" xr:uid="{00000000-0002-0000-0100-000001000000}">
      <formula1>"非該当,該当"</formula1>
    </dataValidation>
  </dataValidations>
  <pageMargins left="0.7" right="0.7" top="0.75" bottom="0.75" header="0.3" footer="0.3"/>
  <pageSetup paperSize="9" scale="7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7030A0"/>
    <pageSetUpPr fitToPage="1"/>
  </sheetPr>
  <dimension ref="B1:N23"/>
  <sheetViews>
    <sheetView zoomScale="85" zoomScaleNormal="85" workbookViewId="0">
      <selection activeCell="K4" sqref="K4"/>
    </sheetView>
  </sheetViews>
  <sheetFormatPr defaultColWidth="9" defaultRowHeight="13.5" x14ac:dyDescent="0.15"/>
  <cols>
    <col min="1" max="1" width="9" style="31"/>
    <col min="2" max="2" width="16.375" style="31" bestFit="1" customWidth="1"/>
    <col min="3" max="3" width="3.75" style="31" bestFit="1" customWidth="1"/>
    <col min="4" max="4" width="14.875" style="31" bestFit="1" customWidth="1"/>
    <col min="5" max="5" width="3.75" style="31" bestFit="1" customWidth="1"/>
    <col min="6" max="6" width="25.625" style="31" customWidth="1"/>
    <col min="7" max="7" width="3.75" style="31" bestFit="1" customWidth="1"/>
    <col min="8" max="8" width="28.375" style="31" customWidth="1"/>
    <col min="9" max="9" width="26.875" style="31" customWidth="1"/>
    <col min="10" max="10" width="4" style="31" customWidth="1"/>
    <col min="11" max="11" width="27.375" style="31" customWidth="1"/>
    <col min="12" max="12" width="23.875" style="31" customWidth="1"/>
    <col min="13" max="13" width="4.25" style="31" bestFit="1" customWidth="1"/>
    <col min="14" max="14" width="28.375" style="31" customWidth="1"/>
    <col min="15" max="16384" width="9" style="31"/>
  </cols>
  <sheetData>
    <row r="1" spans="2:14" s="19" customFormat="1" ht="20.25" thickBot="1" x14ac:dyDescent="0.2"/>
    <row r="2" spans="2:14" s="19" customFormat="1" ht="30" customHeight="1" thickBot="1" x14ac:dyDescent="0.2">
      <c r="B2" s="229" t="s">
        <v>8</v>
      </c>
      <c r="C2" s="230"/>
      <c r="D2" s="230"/>
      <c r="E2" s="231"/>
      <c r="F2" s="1"/>
      <c r="G2" s="20" t="s">
        <v>1</v>
      </c>
      <c r="H2" s="19" t="s">
        <v>3</v>
      </c>
    </row>
    <row r="3" spans="2:14" s="19" customFormat="1" ht="30" customHeight="1" thickBot="1" x14ac:dyDescent="0.2">
      <c r="B3" s="229" t="s">
        <v>12</v>
      </c>
      <c r="C3" s="230"/>
      <c r="D3" s="230"/>
      <c r="E3" s="231"/>
      <c r="F3" s="1"/>
      <c r="G3" s="20" t="s">
        <v>11</v>
      </c>
    </row>
    <row r="4" spans="2:14" s="19" customFormat="1" ht="30" customHeight="1" thickBot="1" x14ac:dyDescent="0.5">
      <c r="B4" s="229" t="s">
        <v>122</v>
      </c>
      <c r="C4" s="230"/>
      <c r="D4" s="230"/>
      <c r="E4" s="231"/>
      <c r="F4" s="156" ph="1"/>
      <c r="G4" s="20" t="s">
        <v>121</v>
      </c>
    </row>
    <row r="5" spans="2:14" s="19" customFormat="1" ht="30" customHeight="1" thickBot="1" x14ac:dyDescent="0.2">
      <c r="B5" s="229" t="s">
        <v>126</v>
      </c>
      <c r="C5" s="230"/>
      <c r="D5" s="230"/>
      <c r="E5" s="231"/>
      <c r="F5" s="154">
        <f>SUM(F10:F14,I10:I14,L10:L14,F19:F23,I19:I23,L19:L23)</f>
        <v>0</v>
      </c>
      <c r="G5" s="20" t="s">
        <v>125</v>
      </c>
    </row>
    <row r="6" spans="2:14" s="19" customFormat="1" ht="13.5" customHeight="1" x14ac:dyDescent="0.15"/>
    <row r="7" spans="2:14" s="19" customFormat="1" ht="23.25" customHeight="1" thickBot="1" x14ac:dyDescent="0.2">
      <c r="B7" s="19" t="s">
        <v>97</v>
      </c>
    </row>
    <row r="8" spans="2:14" s="19" customFormat="1" ht="30" customHeight="1" x14ac:dyDescent="0.15">
      <c r="B8" s="213" t="s">
        <v>4</v>
      </c>
      <c r="C8" s="214"/>
      <c r="D8" s="214"/>
      <c r="E8" s="215"/>
      <c r="F8" s="219" t="s">
        <v>110</v>
      </c>
      <c r="G8" s="220"/>
      <c r="H8" s="221"/>
      <c r="I8" s="222" t="s">
        <v>111</v>
      </c>
      <c r="J8" s="223"/>
      <c r="K8" s="224"/>
      <c r="L8" s="222" t="s">
        <v>112</v>
      </c>
      <c r="M8" s="223"/>
      <c r="N8" s="224"/>
    </row>
    <row r="9" spans="2:14" s="19" customFormat="1" ht="30" customHeight="1" x14ac:dyDescent="0.15">
      <c r="B9" s="216"/>
      <c r="C9" s="217"/>
      <c r="D9" s="217"/>
      <c r="E9" s="218"/>
      <c r="F9" s="225" t="s">
        <v>9</v>
      </c>
      <c r="G9" s="226"/>
      <c r="H9" s="122" t="s">
        <v>6</v>
      </c>
      <c r="I9" s="227" t="s">
        <v>9</v>
      </c>
      <c r="J9" s="228"/>
      <c r="K9" s="123" t="s">
        <v>6</v>
      </c>
      <c r="L9" s="227" t="s">
        <v>9</v>
      </c>
      <c r="M9" s="228"/>
      <c r="N9" s="123" t="s">
        <v>6</v>
      </c>
    </row>
    <row r="10" spans="2:14" s="19" customFormat="1" ht="30" customHeight="1" x14ac:dyDescent="0.15">
      <c r="B10" s="24"/>
      <c r="C10" s="26" t="s">
        <v>2</v>
      </c>
      <c r="D10" s="27">
        <v>1299999</v>
      </c>
      <c r="E10" s="124" t="s">
        <v>1</v>
      </c>
      <c r="F10" s="21" t="str">
        <f>IF(F4="1000万円以下",IF(AND($F$3&lt;65,$F$3&gt;60,$F$2&lt;=$D$10,$F$2&gt;600000),$F$2-600000,IF(AND($F$3&lt;65,$F$3&gt;60,$F$2&lt;=600000),0,"")),"")</f>
        <v/>
      </c>
      <c r="G10" s="125" t="s">
        <v>1</v>
      </c>
      <c r="H10" s="126" t="s">
        <v>88</v>
      </c>
      <c r="I10" s="21" t="str">
        <f>IF(F4="1000～2000万円",IF(AND($F$3&lt;65,$F$3&gt;60,$F$2&lt;=$D$10,$F$2&gt;500000),$F$2-500000,IF(AND($F$3&lt;65,$F$3&gt;60,$F$2&lt;=500000),0,"")),"")</f>
        <v/>
      </c>
      <c r="J10" s="125" t="s">
        <v>1</v>
      </c>
      <c r="K10" s="126" t="s">
        <v>98</v>
      </c>
      <c r="L10" s="21" t="str">
        <f>IF(F4="2000万円以上",IF(AND($F$3&lt;65,$F$3&gt;60,$F$2&lt;=$D$10,$F$2&gt;400000),$F$2-400000,IF(AND($F$3&lt;65,$F$3&gt;60,$F$2&lt;=400000),0,"")),"")</f>
        <v/>
      </c>
      <c r="M10" s="125" t="s">
        <v>1</v>
      </c>
      <c r="N10" s="126" t="s">
        <v>104</v>
      </c>
    </row>
    <row r="11" spans="2:14" s="19" customFormat="1" ht="30" customHeight="1" x14ac:dyDescent="0.15">
      <c r="B11" s="21">
        <v>1300000</v>
      </c>
      <c r="C11" s="22" t="s">
        <v>2</v>
      </c>
      <c r="D11" s="23">
        <v>4099999</v>
      </c>
      <c r="E11" s="127" t="s">
        <v>1</v>
      </c>
      <c r="F11" s="24" t="str">
        <f>IF(F4="1000万円以下",IF(AND($F$3&lt;65,$F$3&gt;60,$F$2&lt;=$D$11,$F$2&gt;=$B$11),($F$2*0.75)-275000,""),"")</f>
        <v/>
      </c>
      <c r="G11" s="125" t="s">
        <v>1</v>
      </c>
      <c r="H11" s="126" t="s">
        <v>89</v>
      </c>
      <c r="I11" s="24" t="str">
        <f>IF(F4="1000～2000万円",IF(AND($F$3&lt;65,$F$3&gt;60,$F$2&lt;=$D$11,$F$2&gt;=$B$11),($F$2*0.75)-175000,""),"")</f>
        <v/>
      </c>
      <c r="J11" s="125" t="s">
        <v>1</v>
      </c>
      <c r="K11" s="126" t="s">
        <v>99</v>
      </c>
      <c r="L11" s="24" t="str">
        <f>IF(F4="2000万円以上",IF(AND($F$3&lt;65,$F$3&gt;60,$F$2&lt;=$D$11,$F$2&gt;=$B$11),($F$2*0.75)-75000,""),"")</f>
        <v/>
      </c>
      <c r="M11" s="125" t="s">
        <v>1</v>
      </c>
      <c r="N11" s="126" t="s">
        <v>105</v>
      </c>
    </row>
    <row r="12" spans="2:14" s="19" customFormat="1" ht="30" customHeight="1" x14ac:dyDescent="0.15">
      <c r="B12" s="24">
        <v>4100000</v>
      </c>
      <c r="C12" s="26" t="s">
        <v>2</v>
      </c>
      <c r="D12" s="27">
        <v>7699999</v>
      </c>
      <c r="E12" s="124" t="s">
        <v>1</v>
      </c>
      <c r="F12" s="24" t="str">
        <f>IF(F4="1000万円以下",IF(AND($F$3&lt;65,$F$3&gt;60,$F$2&lt;=$D$12,$F$2&gt;=$B$12),($F$2*0.85)-685000,""),"")</f>
        <v/>
      </c>
      <c r="G12" s="125" t="s">
        <v>1</v>
      </c>
      <c r="H12" s="126" t="s">
        <v>90</v>
      </c>
      <c r="I12" s="24" t="str">
        <f>IF(F4="1000～2000万円",IF(AND($F$3&lt;65,$F$3&gt;60,$F$2&lt;=$D$12,$F$2&gt;=$B$12),($F$2*0.85)-585000,""),"")</f>
        <v/>
      </c>
      <c r="J12" s="125" t="s">
        <v>1</v>
      </c>
      <c r="K12" s="126" t="s">
        <v>100</v>
      </c>
      <c r="L12" s="24" t="str">
        <f>IF(F4="2000万円以上",IF(AND($F$3&lt;65,$F$3&gt;60,$F$2&lt;=$D$12,$F$2&gt;=$B$12),($F$2*0.85)-485000,""),"")</f>
        <v/>
      </c>
      <c r="M12" s="125" t="s">
        <v>1</v>
      </c>
      <c r="N12" s="126" t="s">
        <v>106</v>
      </c>
    </row>
    <row r="13" spans="2:14" s="19" customFormat="1" ht="30" customHeight="1" x14ac:dyDescent="0.15">
      <c r="B13" s="21">
        <v>7700000</v>
      </c>
      <c r="C13" s="22" t="s">
        <v>2</v>
      </c>
      <c r="D13" s="23">
        <v>9999999</v>
      </c>
      <c r="E13" s="127" t="s">
        <v>1</v>
      </c>
      <c r="F13" s="128" t="str">
        <f>IF(F4="1000万円以下",IF(AND($F$3&lt;65,$F$3&gt;60,$F$2&gt;=$B$13,$F$2&lt;=$D$13),($F$2*0.95)-1455000,""),"")</f>
        <v/>
      </c>
      <c r="G13" s="129" t="s">
        <v>1</v>
      </c>
      <c r="H13" s="130" t="s">
        <v>91</v>
      </c>
      <c r="I13" s="128" t="str">
        <f>IF(F4="1000～2000万円",IF(AND($F$3&lt;65,$F$3&gt;60,$F$2&lt;=$D$13,$F$2&gt;=$B$13),($F$2*0.95)-1355000,""),"")</f>
        <v/>
      </c>
      <c r="J13" s="129" t="s">
        <v>1</v>
      </c>
      <c r="K13" s="130" t="s">
        <v>101</v>
      </c>
      <c r="L13" s="128" t="str">
        <f>IF(F4="2000万円以上",IF(AND($F$3&lt;65,$F$3&gt;60,$F$2&gt;=$B$13,$F$2&lt;=$D$13),($F$2*0.95)-1255000,""),"")</f>
        <v/>
      </c>
      <c r="M13" s="129" t="s">
        <v>1</v>
      </c>
      <c r="N13" s="130" t="s">
        <v>107</v>
      </c>
    </row>
    <row r="14" spans="2:14" s="19" customFormat="1" ht="30" customHeight="1" thickBot="1" x14ac:dyDescent="0.2">
      <c r="B14" s="29">
        <v>10000000</v>
      </c>
      <c r="C14" s="131" t="s">
        <v>2</v>
      </c>
      <c r="D14" s="132"/>
      <c r="E14" s="133"/>
      <c r="F14" s="29" t="str">
        <f>IF(F4="1000万円以下",IF(AND($F$3&lt;65,$F$3&gt;60,$F$2&gt;=$B$14),$F$2-1955000,""),"")</f>
        <v/>
      </c>
      <c r="G14" s="134" t="s">
        <v>1</v>
      </c>
      <c r="H14" s="135" t="s">
        <v>92</v>
      </c>
      <c r="I14" s="29" t="str">
        <f>IF(F4="1000～2000万円",IF(AND($F$3&lt;65,$F$2&gt;=$B$14),$F$2-1855000,""),"")</f>
        <v/>
      </c>
      <c r="J14" s="134" t="s">
        <v>1</v>
      </c>
      <c r="K14" s="135" t="s">
        <v>102</v>
      </c>
      <c r="L14" s="29" t="str">
        <f>IF(F4="2000万円以上",IF(AND($F$3&lt;65,$F$3&gt;60,$F$2&gt;=$B$14),$F$2-1755000,""),"")</f>
        <v/>
      </c>
      <c r="M14" s="134" t="s">
        <v>1</v>
      </c>
      <c r="N14" s="135" t="s">
        <v>108</v>
      </c>
    </row>
    <row r="15" spans="2:14" s="19" customFormat="1" ht="15" customHeight="1" x14ac:dyDescent="0.15"/>
    <row r="16" spans="2:14" s="19" customFormat="1" ht="21" customHeight="1" thickBot="1" x14ac:dyDescent="0.2">
      <c r="B16" s="19" t="s">
        <v>10</v>
      </c>
    </row>
    <row r="17" spans="2:14" s="19" customFormat="1" ht="30" customHeight="1" x14ac:dyDescent="0.15">
      <c r="B17" s="213" t="s">
        <v>4</v>
      </c>
      <c r="C17" s="214"/>
      <c r="D17" s="214"/>
      <c r="E17" s="215"/>
      <c r="F17" s="219" t="s">
        <v>110</v>
      </c>
      <c r="G17" s="220"/>
      <c r="H17" s="221"/>
      <c r="I17" s="222" t="s">
        <v>111</v>
      </c>
      <c r="J17" s="223"/>
      <c r="K17" s="224"/>
      <c r="L17" s="222" t="s">
        <v>112</v>
      </c>
      <c r="M17" s="223"/>
      <c r="N17" s="224"/>
    </row>
    <row r="18" spans="2:14" s="19" customFormat="1" ht="30" customHeight="1" x14ac:dyDescent="0.15">
      <c r="B18" s="216"/>
      <c r="C18" s="217"/>
      <c r="D18" s="217"/>
      <c r="E18" s="218"/>
      <c r="F18" s="225" t="s">
        <v>9</v>
      </c>
      <c r="G18" s="226"/>
      <c r="H18" s="122" t="s">
        <v>6</v>
      </c>
      <c r="I18" s="227" t="s">
        <v>9</v>
      </c>
      <c r="J18" s="228"/>
      <c r="K18" s="123" t="s">
        <v>6</v>
      </c>
      <c r="L18" s="227" t="s">
        <v>9</v>
      </c>
      <c r="M18" s="228"/>
      <c r="N18" s="123" t="s">
        <v>6</v>
      </c>
    </row>
    <row r="19" spans="2:14" s="19" customFormat="1" ht="30" customHeight="1" x14ac:dyDescent="0.15">
      <c r="B19" s="24"/>
      <c r="C19" s="26" t="s">
        <v>2</v>
      </c>
      <c r="D19" s="27">
        <v>3299999</v>
      </c>
      <c r="E19" s="124" t="s">
        <v>1</v>
      </c>
      <c r="F19" s="21" t="str">
        <f>IF(F4="1000万円以下",IF(AND($F$3&gt;=65,$F$2&lt;=$D$19,$F$2&gt;1100000),$F$2-1100000,IF(AND($F$3&gt;=65,$F$2&lt;=1100000),0,"")),"")</f>
        <v/>
      </c>
      <c r="G19" s="28" t="s">
        <v>1</v>
      </c>
      <c r="H19" s="126" t="s">
        <v>113</v>
      </c>
      <c r="I19" s="21" t="str">
        <f>IF(F4="1000～2000万円",IF(AND($F$3&gt;=65,$F$2&lt;=$D$19,$F$2&gt;1000000),$F$2-1000000,IF(AND($F$3&gt;=65,$F$2&lt;=1000000),0,"")),"")</f>
        <v/>
      </c>
      <c r="J19" s="28" t="s">
        <v>1</v>
      </c>
      <c r="K19" s="126" t="s">
        <v>103</v>
      </c>
      <c r="L19" s="21" t="str">
        <f>IF(F4="2000万円以上",IF(AND($F$3&gt;=65,$F$2&lt;=$D$19,$F$2&gt;900000),$F$2-900000,IF(AND($F$3&gt;=65,$F$2&lt;=900000),0,"")),"")</f>
        <v/>
      </c>
      <c r="M19" s="28" t="s">
        <v>1</v>
      </c>
      <c r="N19" s="126" t="s">
        <v>109</v>
      </c>
    </row>
    <row r="20" spans="2:14" s="19" customFormat="1" ht="30" customHeight="1" x14ac:dyDescent="0.15">
      <c r="B20" s="21">
        <v>3300000</v>
      </c>
      <c r="C20" s="22" t="s">
        <v>2</v>
      </c>
      <c r="D20" s="23">
        <v>4099999</v>
      </c>
      <c r="E20" s="127" t="s">
        <v>1</v>
      </c>
      <c r="F20" s="24" t="str">
        <f>IF(F4="1000万円以下",IF(AND($F$3&gt;=65,$F$2&lt;=$D$20,$F$2&gt;=$B$20),($F$2*0.75)-275000,""),"")</f>
        <v/>
      </c>
      <c r="G20" s="25" t="s">
        <v>1</v>
      </c>
      <c r="H20" s="126" t="s">
        <v>89</v>
      </c>
      <c r="I20" s="24" t="str">
        <f>IF(F4="1000～2000万円",IF(AND($F$3&gt;=65,$F$2&lt;=$D$20,$F$2&gt;=$B$20),($F$2*0.75)-175000,""),"")</f>
        <v/>
      </c>
      <c r="J20" s="25" t="s">
        <v>1</v>
      </c>
      <c r="K20" s="126" t="s">
        <v>99</v>
      </c>
      <c r="L20" s="24" t="str">
        <f>IF(F4="2000万円以上",IF(AND($F$3&gt;=65,$F$2&lt;=$D$20,$F$2&gt;=$B$20),($F$2*0.75)-75000,""),"")</f>
        <v/>
      </c>
      <c r="M20" s="25" t="s">
        <v>1</v>
      </c>
      <c r="N20" s="126" t="s">
        <v>105</v>
      </c>
    </row>
    <row r="21" spans="2:14" s="19" customFormat="1" ht="30" customHeight="1" x14ac:dyDescent="0.15">
      <c r="B21" s="24">
        <v>4100000</v>
      </c>
      <c r="C21" s="26" t="s">
        <v>2</v>
      </c>
      <c r="D21" s="27">
        <v>7699999</v>
      </c>
      <c r="E21" s="124" t="s">
        <v>1</v>
      </c>
      <c r="F21" s="21" t="str">
        <f>IF(F4="1000万円以下",IF(AND($F$3&gt;=65,$F$2&lt;=$D$21,$F$2&gt;=$B$21),($F$2*0.85)-685000,""),"")</f>
        <v/>
      </c>
      <c r="G21" s="28" t="s">
        <v>1</v>
      </c>
      <c r="H21" s="126" t="s">
        <v>90</v>
      </c>
      <c r="I21" s="21" t="str">
        <f>IF(F4="1000～2000万円",IF(AND($F$3&gt;=65,$F$2&lt;=$D$21,$F$2&gt;=$B$21),($F$2*0.85)-585000,""),"")</f>
        <v/>
      </c>
      <c r="J21" s="28" t="s">
        <v>1</v>
      </c>
      <c r="K21" s="126" t="s">
        <v>100</v>
      </c>
      <c r="L21" s="21" t="str">
        <f>IF(F4="2000万円以上",IF(AND($F$3&gt;=65,$F$2&lt;=$D$21,$F$2&gt;=$B$21),($F$2*0.85)-485000,""),"")</f>
        <v/>
      </c>
      <c r="M21" s="28" t="s">
        <v>1</v>
      </c>
      <c r="N21" s="126" t="s">
        <v>106</v>
      </c>
    </row>
    <row r="22" spans="2:14" s="19" customFormat="1" ht="30" customHeight="1" x14ac:dyDescent="0.15">
      <c r="B22" s="21">
        <v>7700000</v>
      </c>
      <c r="C22" s="22" t="s">
        <v>2</v>
      </c>
      <c r="D22" s="23">
        <v>9999999</v>
      </c>
      <c r="E22" s="127" t="s">
        <v>1</v>
      </c>
      <c r="F22" s="128" t="str">
        <f>IF(F4="1000万円以下",IF(AND($F$3&gt;=65,$F$2&gt;=$B$22,$F$2&lt;=$D$22),($F$2*0.95)-1455000,""),"")</f>
        <v/>
      </c>
      <c r="G22" s="136" t="s">
        <v>1</v>
      </c>
      <c r="H22" s="130" t="s">
        <v>91</v>
      </c>
      <c r="I22" s="128" t="str">
        <f>IF(F4="1000～2000万円",IF(AND($F$3&gt;=65,$F$2&gt;=$B$22,$F$2&lt;=$D$22),($F$2*0.95)-1355000,""),"")</f>
        <v/>
      </c>
      <c r="J22" s="136" t="s">
        <v>1</v>
      </c>
      <c r="K22" s="130" t="s">
        <v>101</v>
      </c>
      <c r="L22" s="128" t="str">
        <f>IF(F4="2000万円以上",IF(AND($F$3&gt;=65,$F$2&gt;=$B$22,$F$2&lt;=$D$22),($F$2*0.95)-1255000,""),"")</f>
        <v/>
      </c>
      <c r="M22" s="136" t="s">
        <v>1</v>
      </c>
      <c r="N22" s="130" t="s">
        <v>107</v>
      </c>
    </row>
    <row r="23" spans="2:14" ht="32.25" customHeight="1" thickBot="1" x14ac:dyDescent="0.2">
      <c r="B23" s="29">
        <v>10000000</v>
      </c>
      <c r="C23" s="131" t="s">
        <v>2</v>
      </c>
      <c r="D23" s="30"/>
      <c r="E23" s="137" t="s">
        <v>114</v>
      </c>
      <c r="F23" s="29" t="str">
        <f>IF(F4="1000万円以下",IF(AND($F$3&gt;=65,$F$2&gt;=$B$23,$F$2&lt;&gt;""),$F$2-1955000,""),"")</f>
        <v/>
      </c>
      <c r="G23" s="30" t="s">
        <v>114</v>
      </c>
      <c r="H23" s="135" t="s">
        <v>92</v>
      </c>
      <c r="I23" s="29" t="str">
        <f>IF(F4="1000～2000万円",IF(AND($F$3&gt;=65,$F$2&gt;=$B$23,$F$2&lt;&gt;""),$F$2-1855000,""),"")</f>
        <v/>
      </c>
      <c r="J23" s="30" t="s">
        <v>114</v>
      </c>
      <c r="K23" s="135" t="s">
        <v>102</v>
      </c>
      <c r="L23" s="29" t="str">
        <f>IF(F4="2000万円以上",IF(AND($F$3&gt;=65,$F$2&gt;=$B$23,$F$2&lt;&gt;""),$F$2-1755000,""),"")</f>
        <v/>
      </c>
      <c r="M23" s="30" t="s">
        <v>114</v>
      </c>
      <c r="N23" s="135" t="s">
        <v>108</v>
      </c>
    </row>
  </sheetData>
  <sheetProtection selectLockedCells="1"/>
  <mergeCells count="18">
    <mergeCell ref="L8:N8"/>
    <mergeCell ref="F9:G9"/>
    <mergeCell ref="I9:J9"/>
    <mergeCell ref="L9:M9"/>
    <mergeCell ref="B2:E2"/>
    <mergeCell ref="B3:E3"/>
    <mergeCell ref="B8:E9"/>
    <mergeCell ref="F8:H8"/>
    <mergeCell ref="I8:K8"/>
    <mergeCell ref="B4:E4"/>
    <mergeCell ref="B5:E5"/>
    <mergeCell ref="B17:E18"/>
    <mergeCell ref="F17:H17"/>
    <mergeCell ref="I17:K17"/>
    <mergeCell ref="L17:N17"/>
    <mergeCell ref="F18:G18"/>
    <mergeCell ref="I18:J18"/>
    <mergeCell ref="L18:M18"/>
  </mergeCells>
  <phoneticPr fontId="1"/>
  <dataValidations count="1">
    <dataValidation type="list" allowBlank="1" showInputMessage="1" showErrorMessage="1" sqref="F4" xr:uid="{00000000-0002-0000-0200-000000000000}">
      <formula1>"1000万円以下,1000～2000万円,2000万円以上"</formula1>
    </dataValidation>
  </dataValidations>
  <pageMargins left="0.7" right="0.7" top="0.75" bottom="0.75" header="0.3" footer="0.3"/>
  <pageSetup paperSize="9" scale="3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U43"/>
  <sheetViews>
    <sheetView zoomScale="70" zoomScaleNormal="70" workbookViewId="0">
      <selection activeCell="O15" sqref="O15"/>
    </sheetView>
  </sheetViews>
  <sheetFormatPr defaultColWidth="9" defaultRowHeight="19.5" x14ac:dyDescent="0.15"/>
  <cols>
    <col min="1" max="1" width="13.625" style="71" bestFit="1" customWidth="1"/>
    <col min="2" max="2" width="16" style="71" customWidth="1"/>
    <col min="3" max="3" width="16.375" style="72" bestFit="1" customWidth="1"/>
    <col min="4" max="4" width="15" style="71" customWidth="1"/>
    <col min="5" max="7" width="13.125" style="71" customWidth="1"/>
    <col min="8" max="8" width="4.25" style="83" customWidth="1"/>
    <col min="9" max="9" width="21.75" style="71" customWidth="1"/>
    <col min="10" max="12" width="13" style="72" customWidth="1"/>
    <col min="13" max="13" width="11.25" style="72" customWidth="1"/>
    <col min="14" max="16384" width="9" style="72"/>
  </cols>
  <sheetData>
    <row r="2" spans="1:21" ht="30" customHeight="1" x14ac:dyDescent="0.15">
      <c r="A2" s="69"/>
      <c r="B2" s="70" t="s">
        <v>22</v>
      </c>
      <c r="C2" s="70" t="s">
        <v>50</v>
      </c>
      <c r="D2" s="70" t="s">
        <v>24</v>
      </c>
      <c r="F2" s="72"/>
      <c r="G2" s="72"/>
      <c r="H2" s="72"/>
      <c r="I2" s="72"/>
    </row>
    <row r="3" spans="1:21" ht="30" customHeight="1" x14ac:dyDescent="0.15">
      <c r="A3" s="73" t="s">
        <v>51</v>
      </c>
      <c r="B3" s="74">
        <v>7.0000000000000007E-2</v>
      </c>
      <c r="C3" s="74">
        <v>2.5000000000000001E-2</v>
      </c>
      <c r="D3" s="74">
        <v>2.1000000000000001E-2</v>
      </c>
      <c r="F3" s="72"/>
      <c r="G3" s="75"/>
      <c r="H3" s="72"/>
      <c r="I3" s="76"/>
      <c r="K3" s="76"/>
      <c r="M3" s="76"/>
    </row>
    <row r="4" spans="1:21" ht="30" customHeight="1" x14ac:dyDescent="0.15">
      <c r="A4" s="73" t="s">
        <v>52</v>
      </c>
      <c r="B4" s="77">
        <v>26400</v>
      </c>
      <c r="C4" s="77">
        <v>9200</v>
      </c>
      <c r="D4" s="77">
        <v>9900</v>
      </c>
      <c r="F4" s="72"/>
      <c r="G4" s="75"/>
      <c r="H4" s="72"/>
      <c r="I4" s="76"/>
      <c r="K4" s="76"/>
      <c r="M4" s="76"/>
      <c r="Q4" s="235"/>
      <c r="R4" s="235"/>
      <c r="S4" s="235"/>
      <c r="T4" s="235"/>
      <c r="U4" s="235"/>
    </row>
    <row r="5" spans="1:21" ht="30" customHeight="1" x14ac:dyDescent="0.15">
      <c r="A5" s="73" t="s">
        <v>53</v>
      </c>
      <c r="B5" s="77">
        <v>20100</v>
      </c>
      <c r="C5" s="77">
        <v>7100</v>
      </c>
      <c r="D5" s="77">
        <v>5800</v>
      </c>
      <c r="F5" s="72"/>
      <c r="G5" s="75"/>
      <c r="H5" s="72"/>
      <c r="I5" s="76"/>
      <c r="K5" s="76"/>
      <c r="M5" s="76"/>
      <c r="Q5" s="235"/>
      <c r="R5" s="235"/>
      <c r="S5" s="235"/>
      <c r="T5" s="235"/>
      <c r="U5" s="235"/>
    </row>
    <row r="6" spans="1:21" ht="30" customHeight="1" x14ac:dyDescent="0.15">
      <c r="A6" s="70" t="s">
        <v>32</v>
      </c>
      <c r="B6" s="78">
        <v>650000</v>
      </c>
      <c r="C6" s="78">
        <v>240000</v>
      </c>
      <c r="D6" s="78">
        <v>170000</v>
      </c>
      <c r="F6" s="72"/>
      <c r="G6" s="75"/>
      <c r="H6" s="72"/>
      <c r="I6" s="76"/>
      <c r="K6" s="76"/>
      <c r="M6" s="76"/>
    </row>
    <row r="7" spans="1:21" x14ac:dyDescent="0.15">
      <c r="A7" s="79"/>
      <c r="B7" s="80"/>
      <c r="C7" s="80"/>
      <c r="D7" s="80"/>
      <c r="F7" s="72"/>
      <c r="G7" s="75"/>
      <c r="H7" s="72"/>
      <c r="I7" s="76"/>
      <c r="K7" s="76"/>
      <c r="M7" s="76"/>
    </row>
    <row r="8" spans="1:21" ht="22.5" x14ac:dyDescent="0.15">
      <c r="A8" s="81" t="s">
        <v>54</v>
      </c>
      <c r="B8" s="82"/>
    </row>
    <row r="9" spans="1:21" ht="22.5" x14ac:dyDescent="0.15">
      <c r="A9" s="84" t="s">
        <v>55</v>
      </c>
      <c r="B9" s="85"/>
      <c r="I9" s="86" t="s">
        <v>70</v>
      </c>
      <c r="J9" s="96"/>
      <c r="K9" s="97"/>
      <c r="L9" s="96"/>
      <c r="M9" s="96"/>
    </row>
    <row r="10" spans="1:21" ht="36" customHeight="1" x14ac:dyDescent="0.15">
      <c r="A10" s="236" t="s">
        <v>56</v>
      </c>
      <c r="B10" s="234" t="s">
        <v>57</v>
      </c>
      <c r="C10" s="237" t="s">
        <v>58</v>
      </c>
      <c r="D10" s="234" t="s">
        <v>59</v>
      </c>
      <c r="E10" s="234"/>
      <c r="F10" s="234"/>
      <c r="G10" s="234"/>
      <c r="H10" s="87"/>
      <c r="I10" s="236" t="s">
        <v>64</v>
      </c>
      <c r="J10" s="234" t="s">
        <v>59</v>
      </c>
      <c r="K10" s="234"/>
      <c r="L10" s="234"/>
      <c r="M10" s="234"/>
    </row>
    <row r="11" spans="1:21" ht="36" customHeight="1" x14ac:dyDescent="0.15">
      <c r="A11" s="236"/>
      <c r="B11" s="234"/>
      <c r="C11" s="237"/>
      <c r="D11" s="88" t="s">
        <v>60</v>
      </c>
      <c r="E11" s="88" t="s">
        <v>61</v>
      </c>
      <c r="F11" s="89" t="s">
        <v>62</v>
      </c>
      <c r="G11" s="88" t="s">
        <v>63</v>
      </c>
      <c r="H11" s="87"/>
      <c r="I11" s="236"/>
      <c r="J11" s="88" t="s">
        <v>60</v>
      </c>
      <c r="K11" s="88" t="s">
        <v>61</v>
      </c>
      <c r="L11" s="89" t="s">
        <v>62</v>
      </c>
      <c r="M11" s="88" t="s">
        <v>63</v>
      </c>
    </row>
    <row r="12" spans="1:21" ht="37.5" customHeight="1" x14ac:dyDescent="0.15">
      <c r="A12" s="90">
        <v>0</v>
      </c>
      <c r="B12" s="90">
        <v>0</v>
      </c>
      <c r="C12" s="91">
        <v>0</v>
      </c>
      <c r="D12" s="90">
        <f t="shared" ref="D12:D31" si="0">IF(C12*$B$3&gt;=$B$6,$B$6,C12*$B$3)</f>
        <v>0</v>
      </c>
      <c r="E12" s="90">
        <f t="shared" ref="E12:E31" si="1">IF(C12*$C$3&gt;=$C$6,$C$6,C12*$C$3)</f>
        <v>0</v>
      </c>
      <c r="F12" s="90">
        <f t="shared" ref="F12:F31" si="2">IF(C12*$D$3&gt;=$D$6,$D$6,C12*$D$3)</f>
        <v>0</v>
      </c>
      <c r="G12" s="90">
        <f t="shared" ref="G12:G15" si="3">SUM(D12:F12)</f>
        <v>0</v>
      </c>
      <c r="H12" s="92"/>
      <c r="I12" s="90">
        <v>1</v>
      </c>
      <c r="J12" s="90">
        <f>I12*$B$4</f>
        <v>26400</v>
      </c>
      <c r="K12" s="90">
        <f>I12*$C$4</f>
        <v>9200</v>
      </c>
      <c r="L12" s="90">
        <f>I12*$D$4</f>
        <v>9900</v>
      </c>
      <c r="M12" s="90">
        <f t="shared" ref="M12:M15" si="4">SUM(J12:L12)</f>
        <v>45500</v>
      </c>
    </row>
    <row r="13" spans="1:21" ht="37.5" customHeight="1" x14ac:dyDescent="0.15">
      <c r="A13" s="93">
        <v>500000</v>
      </c>
      <c r="B13" s="94">
        <v>0</v>
      </c>
      <c r="C13" s="95">
        <v>0</v>
      </c>
      <c r="D13" s="94">
        <f t="shared" si="0"/>
        <v>0</v>
      </c>
      <c r="E13" s="94">
        <f t="shared" si="1"/>
        <v>0</v>
      </c>
      <c r="F13" s="94">
        <f t="shared" si="2"/>
        <v>0</v>
      </c>
      <c r="G13" s="94">
        <f t="shared" si="3"/>
        <v>0</v>
      </c>
      <c r="H13" s="92"/>
      <c r="I13" s="93">
        <v>2</v>
      </c>
      <c r="J13" s="94">
        <f t="shared" ref="J13:J15" si="5">I13*$B$4</f>
        <v>52800</v>
      </c>
      <c r="K13" s="94">
        <f t="shared" ref="K13:K15" si="6">I13*$C$4</f>
        <v>18400</v>
      </c>
      <c r="L13" s="94">
        <f t="shared" ref="L13:L15" si="7">I13*$D$4</f>
        <v>19800</v>
      </c>
      <c r="M13" s="94">
        <f t="shared" si="4"/>
        <v>91000</v>
      </c>
    </row>
    <row r="14" spans="1:21" ht="37.5" customHeight="1" x14ac:dyDescent="0.15">
      <c r="A14" s="90">
        <v>1000000</v>
      </c>
      <c r="B14" s="90">
        <v>450000</v>
      </c>
      <c r="C14" s="90">
        <f t="shared" ref="C14:C31" si="8">B14-430000</f>
        <v>20000</v>
      </c>
      <c r="D14" s="90">
        <f t="shared" si="0"/>
        <v>1400.0000000000002</v>
      </c>
      <c r="E14" s="90">
        <f t="shared" si="1"/>
        <v>500</v>
      </c>
      <c r="F14" s="90">
        <f t="shared" si="2"/>
        <v>420</v>
      </c>
      <c r="G14" s="90">
        <f t="shared" si="3"/>
        <v>2320</v>
      </c>
      <c r="H14" s="92"/>
      <c r="I14" s="90">
        <v>3</v>
      </c>
      <c r="J14" s="90">
        <f t="shared" si="5"/>
        <v>79200</v>
      </c>
      <c r="K14" s="90">
        <f t="shared" si="6"/>
        <v>27600</v>
      </c>
      <c r="L14" s="90">
        <f t="shared" si="7"/>
        <v>29700</v>
      </c>
      <c r="M14" s="90">
        <f t="shared" si="4"/>
        <v>136500</v>
      </c>
    </row>
    <row r="15" spans="1:21" ht="37.5" customHeight="1" x14ac:dyDescent="0.15">
      <c r="A15" s="93">
        <v>1500000</v>
      </c>
      <c r="B15" s="94">
        <v>950000</v>
      </c>
      <c r="C15" s="94">
        <f t="shared" si="8"/>
        <v>520000</v>
      </c>
      <c r="D15" s="94">
        <f t="shared" si="0"/>
        <v>36400</v>
      </c>
      <c r="E15" s="94">
        <f t="shared" si="1"/>
        <v>13000</v>
      </c>
      <c r="F15" s="94">
        <f t="shared" si="2"/>
        <v>10920</v>
      </c>
      <c r="G15" s="94">
        <f t="shared" si="3"/>
        <v>60320</v>
      </c>
      <c r="H15" s="92"/>
      <c r="I15" s="93">
        <v>4</v>
      </c>
      <c r="J15" s="94">
        <f t="shared" si="5"/>
        <v>105600</v>
      </c>
      <c r="K15" s="94">
        <f t="shared" si="6"/>
        <v>36800</v>
      </c>
      <c r="L15" s="94">
        <f t="shared" si="7"/>
        <v>39600</v>
      </c>
      <c r="M15" s="94">
        <f t="shared" si="4"/>
        <v>182000</v>
      </c>
    </row>
    <row r="16" spans="1:21" ht="37.5" customHeight="1" x14ac:dyDescent="0.15">
      <c r="A16" s="90">
        <v>2000000</v>
      </c>
      <c r="B16" s="90">
        <v>1320000</v>
      </c>
      <c r="C16" s="90">
        <f t="shared" si="8"/>
        <v>890000</v>
      </c>
      <c r="D16" s="90">
        <f t="shared" si="0"/>
        <v>62300.000000000007</v>
      </c>
      <c r="E16" s="90">
        <f t="shared" si="1"/>
        <v>22250</v>
      </c>
      <c r="F16" s="90">
        <f t="shared" si="2"/>
        <v>18690</v>
      </c>
      <c r="G16" s="90">
        <f>SUM(D16:F16)</f>
        <v>103240</v>
      </c>
      <c r="H16" s="92"/>
      <c r="I16" s="100" t="s">
        <v>66</v>
      </c>
      <c r="J16" s="90">
        <f>ROUNDDOWN(J12*0.3,-2)</f>
        <v>7900</v>
      </c>
      <c r="K16" s="90">
        <f>ROUNDDOWN(K12*0.3,-2)</f>
        <v>2700</v>
      </c>
      <c r="L16" s="90">
        <f>ROUNDDOWN(L12*0.3,-2)</f>
        <v>2900</v>
      </c>
      <c r="M16" s="90">
        <f>SUM(J16:L16)</f>
        <v>13500</v>
      </c>
    </row>
    <row r="17" spans="1:13" ht="37.5" customHeight="1" x14ac:dyDescent="0.15">
      <c r="A17" s="93">
        <v>2500000</v>
      </c>
      <c r="B17" s="94">
        <v>1670000</v>
      </c>
      <c r="C17" s="94">
        <f t="shared" si="8"/>
        <v>1240000</v>
      </c>
      <c r="D17" s="94">
        <f t="shared" si="0"/>
        <v>86800.000000000015</v>
      </c>
      <c r="E17" s="94">
        <f t="shared" si="1"/>
        <v>31000</v>
      </c>
      <c r="F17" s="94">
        <f t="shared" si="2"/>
        <v>26040</v>
      </c>
      <c r="G17" s="94">
        <f t="shared" ref="G17:G31" si="9">SUM(D17:F17)</f>
        <v>143840</v>
      </c>
      <c r="H17" s="92"/>
      <c r="I17" s="101" t="s">
        <v>67</v>
      </c>
      <c r="J17" s="94">
        <f>ROUNDDOWN(J12*0.5,-2)</f>
        <v>13200</v>
      </c>
      <c r="K17" s="94">
        <f t="shared" ref="K17:L17" si="10">ROUNDDOWN(K12*0.5,-2)</f>
        <v>4600</v>
      </c>
      <c r="L17" s="94">
        <f t="shared" si="10"/>
        <v>4900</v>
      </c>
      <c r="M17" s="94">
        <f t="shared" ref="M17:M18" si="11">SUM(J17:L17)</f>
        <v>22700</v>
      </c>
    </row>
    <row r="18" spans="1:13" ht="37.5" customHeight="1" x14ac:dyDescent="0.15">
      <c r="A18" s="90">
        <v>3000000</v>
      </c>
      <c r="B18" s="90">
        <v>2020000</v>
      </c>
      <c r="C18" s="90">
        <f t="shared" si="8"/>
        <v>1590000</v>
      </c>
      <c r="D18" s="90">
        <f t="shared" si="0"/>
        <v>111300.00000000001</v>
      </c>
      <c r="E18" s="90">
        <f t="shared" si="1"/>
        <v>39750</v>
      </c>
      <c r="F18" s="90">
        <f t="shared" si="2"/>
        <v>33390</v>
      </c>
      <c r="G18" s="90">
        <f t="shared" si="9"/>
        <v>184440</v>
      </c>
      <c r="H18" s="92"/>
      <c r="I18" s="100" t="s">
        <v>68</v>
      </c>
      <c r="J18" s="90">
        <f>ROUNDDOWN(J12*0.8,-2)</f>
        <v>21100</v>
      </c>
      <c r="K18" s="90">
        <f t="shared" ref="K18:L18" si="12">ROUNDDOWN(K12*0.8,-2)</f>
        <v>7300</v>
      </c>
      <c r="L18" s="90">
        <f t="shared" si="12"/>
        <v>7900</v>
      </c>
      <c r="M18" s="90">
        <f t="shared" si="11"/>
        <v>36300</v>
      </c>
    </row>
    <row r="19" spans="1:13" ht="37.5" customHeight="1" x14ac:dyDescent="0.15">
      <c r="A19" s="93">
        <v>3500000</v>
      </c>
      <c r="B19" s="94">
        <v>2370000</v>
      </c>
      <c r="C19" s="94">
        <f t="shared" si="8"/>
        <v>1940000</v>
      </c>
      <c r="D19" s="94">
        <f t="shared" si="0"/>
        <v>135800</v>
      </c>
      <c r="E19" s="94">
        <f t="shared" si="1"/>
        <v>48500</v>
      </c>
      <c r="F19" s="94">
        <f t="shared" si="2"/>
        <v>40740</v>
      </c>
      <c r="G19" s="94">
        <f t="shared" si="9"/>
        <v>225040</v>
      </c>
      <c r="H19" s="92"/>
      <c r="I19" s="72"/>
    </row>
    <row r="20" spans="1:13" ht="37.5" customHeight="1" x14ac:dyDescent="0.15">
      <c r="A20" s="90">
        <v>4000000</v>
      </c>
      <c r="B20" s="90">
        <v>2760000</v>
      </c>
      <c r="C20" s="90">
        <f t="shared" si="8"/>
        <v>2330000</v>
      </c>
      <c r="D20" s="90">
        <f t="shared" si="0"/>
        <v>163100.00000000003</v>
      </c>
      <c r="E20" s="90">
        <f t="shared" si="1"/>
        <v>58250</v>
      </c>
      <c r="F20" s="90">
        <f t="shared" si="2"/>
        <v>48930</v>
      </c>
      <c r="G20" s="90">
        <f t="shared" si="9"/>
        <v>270280</v>
      </c>
      <c r="H20" s="92"/>
      <c r="I20" s="99" t="s">
        <v>71</v>
      </c>
      <c r="J20" s="97"/>
      <c r="K20" s="97"/>
      <c r="L20" s="97"/>
      <c r="M20" s="97"/>
    </row>
    <row r="21" spans="1:13" ht="37.5" customHeight="1" x14ac:dyDescent="0.15">
      <c r="A21" s="93">
        <v>4500000</v>
      </c>
      <c r="B21" s="94">
        <v>3160000</v>
      </c>
      <c r="C21" s="94">
        <f t="shared" si="8"/>
        <v>2730000</v>
      </c>
      <c r="D21" s="94">
        <f t="shared" si="0"/>
        <v>191100.00000000003</v>
      </c>
      <c r="E21" s="94">
        <f t="shared" si="1"/>
        <v>68250</v>
      </c>
      <c r="F21" s="94">
        <f t="shared" si="2"/>
        <v>57330</v>
      </c>
      <c r="G21" s="94">
        <f t="shared" si="9"/>
        <v>316680</v>
      </c>
      <c r="H21" s="92"/>
      <c r="I21" s="232"/>
      <c r="J21" s="234" t="s">
        <v>59</v>
      </c>
      <c r="K21" s="234"/>
      <c r="L21" s="234"/>
      <c r="M21" s="234"/>
    </row>
    <row r="22" spans="1:13" ht="37.5" customHeight="1" x14ac:dyDescent="0.15">
      <c r="A22" s="90">
        <v>5000000</v>
      </c>
      <c r="B22" s="90">
        <v>3560000</v>
      </c>
      <c r="C22" s="90">
        <f t="shared" si="8"/>
        <v>3130000</v>
      </c>
      <c r="D22" s="90">
        <f t="shared" si="0"/>
        <v>219100.00000000003</v>
      </c>
      <c r="E22" s="90">
        <f t="shared" si="1"/>
        <v>78250</v>
      </c>
      <c r="F22" s="90">
        <f t="shared" si="2"/>
        <v>65730</v>
      </c>
      <c r="G22" s="90">
        <f t="shared" si="9"/>
        <v>363080</v>
      </c>
      <c r="H22" s="92"/>
      <c r="I22" s="233"/>
      <c r="J22" s="88" t="s">
        <v>60</v>
      </c>
      <c r="K22" s="88" t="s">
        <v>61</v>
      </c>
      <c r="L22" s="89" t="s">
        <v>62</v>
      </c>
      <c r="M22" s="88" t="s">
        <v>63</v>
      </c>
    </row>
    <row r="23" spans="1:13" ht="37.5" customHeight="1" x14ac:dyDescent="0.15">
      <c r="A23" s="93">
        <v>5500000</v>
      </c>
      <c r="B23" s="94">
        <v>3960000</v>
      </c>
      <c r="C23" s="94">
        <f t="shared" si="8"/>
        <v>3530000</v>
      </c>
      <c r="D23" s="94">
        <f t="shared" si="0"/>
        <v>247100.00000000003</v>
      </c>
      <c r="E23" s="94">
        <f t="shared" si="1"/>
        <v>88250</v>
      </c>
      <c r="F23" s="94">
        <f t="shared" si="2"/>
        <v>74130</v>
      </c>
      <c r="G23" s="94">
        <f t="shared" si="9"/>
        <v>409480</v>
      </c>
      <c r="H23" s="92"/>
      <c r="I23" s="90" t="s">
        <v>65</v>
      </c>
      <c r="J23" s="90">
        <f>B5</f>
        <v>20100</v>
      </c>
      <c r="K23" s="90">
        <f>C5</f>
        <v>7100</v>
      </c>
      <c r="L23" s="90">
        <f>D5</f>
        <v>5800</v>
      </c>
      <c r="M23" s="90">
        <f t="shared" ref="M23:M26" si="13">SUM(J23:L23)</f>
        <v>33000</v>
      </c>
    </row>
    <row r="24" spans="1:13" ht="37.5" customHeight="1" x14ac:dyDescent="0.15">
      <c r="A24" s="90">
        <v>6000000</v>
      </c>
      <c r="B24" s="90">
        <v>4360000</v>
      </c>
      <c r="C24" s="90">
        <f t="shared" si="8"/>
        <v>3930000</v>
      </c>
      <c r="D24" s="90">
        <f t="shared" si="0"/>
        <v>275100</v>
      </c>
      <c r="E24" s="90">
        <f t="shared" si="1"/>
        <v>98250</v>
      </c>
      <c r="F24" s="90">
        <f t="shared" si="2"/>
        <v>82530</v>
      </c>
      <c r="G24" s="90">
        <f t="shared" si="9"/>
        <v>455880</v>
      </c>
      <c r="H24" s="92"/>
      <c r="I24" s="94" t="s">
        <v>66</v>
      </c>
      <c r="J24" s="94">
        <f>ROUNDDOWN(J23*0.3,-2)</f>
        <v>6000</v>
      </c>
      <c r="K24" s="94">
        <f t="shared" ref="K24:L24" si="14">ROUNDDOWN(K23*0.3,-2)</f>
        <v>2100</v>
      </c>
      <c r="L24" s="94">
        <f t="shared" si="14"/>
        <v>1700</v>
      </c>
      <c r="M24" s="94">
        <f t="shared" si="13"/>
        <v>9800</v>
      </c>
    </row>
    <row r="25" spans="1:13" ht="37.5" customHeight="1" x14ac:dyDescent="0.15">
      <c r="A25" s="93">
        <v>6500000</v>
      </c>
      <c r="B25" s="94">
        <v>4760000</v>
      </c>
      <c r="C25" s="94">
        <f t="shared" si="8"/>
        <v>4330000</v>
      </c>
      <c r="D25" s="94">
        <f t="shared" si="0"/>
        <v>303100</v>
      </c>
      <c r="E25" s="94">
        <f t="shared" si="1"/>
        <v>108250</v>
      </c>
      <c r="F25" s="94">
        <f t="shared" si="2"/>
        <v>90930</v>
      </c>
      <c r="G25" s="94">
        <f t="shared" si="9"/>
        <v>502280</v>
      </c>
      <c r="H25" s="92"/>
      <c r="I25" s="94" t="s">
        <v>67</v>
      </c>
      <c r="J25" s="94">
        <f>ROUNDDOWN(J23*0.5,-2)</f>
        <v>10000</v>
      </c>
      <c r="K25" s="94">
        <f t="shared" ref="K25:L25" si="15">ROUNDDOWN(K23*0.5,-2)</f>
        <v>3500</v>
      </c>
      <c r="L25" s="94">
        <f t="shared" si="15"/>
        <v>2900</v>
      </c>
      <c r="M25" s="94">
        <f t="shared" si="13"/>
        <v>16400</v>
      </c>
    </row>
    <row r="26" spans="1:13" ht="37.5" customHeight="1" x14ac:dyDescent="0.15">
      <c r="A26" s="90">
        <v>7000000</v>
      </c>
      <c r="B26" s="90">
        <v>5200000</v>
      </c>
      <c r="C26" s="90">
        <f t="shared" si="8"/>
        <v>4770000</v>
      </c>
      <c r="D26" s="90">
        <f t="shared" si="0"/>
        <v>333900.00000000006</v>
      </c>
      <c r="E26" s="90">
        <f t="shared" si="1"/>
        <v>119250</v>
      </c>
      <c r="F26" s="90">
        <f t="shared" si="2"/>
        <v>100170</v>
      </c>
      <c r="G26" s="90">
        <f t="shared" si="9"/>
        <v>553320</v>
      </c>
      <c r="H26" s="92"/>
      <c r="I26" s="94" t="s">
        <v>68</v>
      </c>
      <c r="J26" s="94">
        <f>ROUNDDOWN(J23*0.8,-2)</f>
        <v>16000</v>
      </c>
      <c r="K26" s="94">
        <f t="shared" ref="K26:L26" si="16">ROUNDDOWN(K23*0.8,-2)</f>
        <v>5600</v>
      </c>
      <c r="L26" s="94">
        <f t="shared" si="16"/>
        <v>4600</v>
      </c>
      <c r="M26" s="94">
        <f t="shared" si="13"/>
        <v>26200</v>
      </c>
    </row>
    <row r="27" spans="1:13" ht="37.5" customHeight="1" x14ac:dyDescent="0.15">
      <c r="A27" s="93">
        <v>7500000</v>
      </c>
      <c r="B27" s="94">
        <v>5650000</v>
      </c>
      <c r="C27" s="94">
        <f t="shared" si="8"/>
        <v>5220000</v>
      </c>
      <c r="D27" s="94">
        <f t="shared" si="0"/>
        <v>365400.00000000006</v>
      </c>
      <c r="E27" s="94">
        <f t="shared" si="1"/>
        <v>130500</v>
      </c>
      <c r="F27" s="94">
        <f t="shared" si="2"/>
        <v>109620</v>
      </c>
      <c r="G27" s="94">
        <f t="shared" si="9"/>
        <v>605520</v>
      </c>
      <c r="H27" s="92"/>
      <c r="I27" s="72"/>
    </row>
    <row r="28" spans="1:13" ht="37.5" customHeight="1" x14ac:dyDescent="0.15">
      <c r="A28" s="90">
        <v>8000000</v>
      </c>
      <c r="B28" s="90">
        <v>6100000</v>
      </c>
      <c r="C28" s="90">
        <f t="shared" si="8"/>
        <v>5670000</v>
      </c>
      <c r="D28" s="90">
        <f t="shared" si="0"/>
        <v>396900.00000000006</v>
      </c>
      <c r="E28" s="90">
        <f t="shared" si="1"/>
        <v>141750</v>
      </c>
      <c r="F28" s="90">
        <f t="shared" si="2"/>
        <v>119070.00000000001</v>
      </c>
      <c r="G28" s="90">
        <f t="shared" si="9"/>
        <v>657720</v>
      </c>
      <c r="H28" s="92"/>
      <c r="I28" s="72"/>
    </row>
    <row r="29" spans="1:13" ht="37.5" customHeight="1" x14ac:dyDescent="0.15">
      <c r="A29" s="93">
        <v>8500000</v>
      </c>
      <c r="B29" s="94">
        <v>6550000</v>
      </c>
      <c r="C29" s="94">
        <f t="shared" si="8"/>
        <v>6120000</v>
      </c>
      <c r="D29" s="94">
        <f t="shared" si="0"/>
        <v>428400.00000000006</v>
      </c>
      <c r="E29" s="94">
        <f t="shared" si="1"/>
        <v>153000</v>
      </c>
      <c r="F29" s="94">
        <f t="shared" si="2"/>
        <v>128520.00000000001</v>
      </c>
      <c r="G29" s="94">
        <f t="shared" si="9"/>
        <v>709920</v>
      </c>
      <c r="H29" s="92"/>
      <c r="I29" s="72"/>
    </row>
    <row r="30" spans="1:13" ht="37.5" customHeight="1" x14ac:dyDescent="0.15">
      <c r="A30" s="90">
        <v>9000000</v>
      </c>
      <c r="B30" s="90">
        <v>7050000</v>
      </c>
      <c r="C30" s="90">
        <f t="shared" si="8"/>
        <v>6620000</v>
      </c>
      <c r="D30" s="90">
        <f t="shared" si="0"/>
        <v>463400.00000000006</v>
      </c>
      <c r="E30" s="90">
        <f t="shared" si="1"/>
        <v>165500</v>
      </c>
      <c r="F30" s="90">
        <f t="shared" si="2"/>
        <v>139020</v>
      </c>
      <c r="G30" s="90">
        <f t="shared" si="9"/>
        <v>767920</v>
      </c>
      <c r="H30" s="92"/>
      <c r="I30" s="72"/>
    </row>
    <row r="31" spans="1:13" ht="37.5" customHeight="1" x14ac:dyDescent="0.15">
      <c r="A31" s="93">
        <v>9500000</v>
      </c>
      <c r="B31" s="94">
        <v>7550000</v>
      </c>
      <c r="C31" s="94">
        <f t="shared" si="8"/>
        <v>7120000</v>
      </c>
      <c r="D31" s="94">
        <f t="shared" si="0"/>
        <v>498400.00000000006</v>
      </c>
      <c r="E31" s="94">
        <f t="shared" si="1"/>
        <v>178000</v>
      </c>
      <c r="F31" s="94">
        <f t="shared" si="2"/>
        <v>149520</v>
      </c>
      <c r="G31" s="94">
        <f t="shared" si="9"/>
        <v>825920</v>
      </c>
      <c r="H31" s="92"/>
      <c r="I31" s="72"/>
    </row>
    <row r="32" spans="1:13" x14ac:dyDescent="0.15">
      <c r="B32" s="96"/>
      <c r="C32" s="97"/>
      <c r="D32" s="96"/>
      <c r="E32" s="96"/>
      <c r="F32" s="96"/>
      <c r="G32" s="96"/>
      <c r="H32" s="98"/>
      <c r="I32" s="72"/>
    </row>
    <row r="33" spans="1:13" x14ac:dyDescent="0.15">
      <c r="A33" s="72"/>
      <c r="B33" s="72"/>
      <c r="D33" s="72"/>
      <c r="E33" s="72"/>
      <c r="F33" s="96"/>
      <c r="G33" s="96"/>
      <c r="H33" s="98"/>
      <c r="I33" s="72"/>
    </row>
    <row r="34" spans="1:13" x14ac:dyDescent="0.15">
      <c r="A34" s="72"/>
      <c r="B34" s="72"/>
      <c r="D34" s="72"/>
      <c r="E34" s="72"/>
      <c r="F34" s="96"/>
      <c r="G34" s="96"/>
      <c r="H34" s="98"/>
      <c r="I34" s="72"/>
    </row>
    <row r="35" spans="1:13" x14ac:dyDescent="0.15">
      <c r="A35" s="72"/>
      <c r="B35" s="72"/>
      <c r="D35" s="72"/>
      <c r="E35" s="72"/>
      <c r="F35" s="96"/>
      <c r="G35" s="96"/>
      <c r="H35" s="98"/>
      <c r="I35" s="72"/>
    </row>
    <row r="36" spans="1:13" ht="37.5" customHeight="1" x14ac:dyDescent="0.15">
      <c r="A36" s="72"/>
      <c r="B36" s="72"/>
      <c r="D36" s="72"/>
      <c r="E36" s="72"/>
      <c r="F36" s="96"/>
      <c r="G36" s="96"/>
      <c r="H36" s="98"/>
      <c r="I36" s="72"/>
    </row>
    <row r="37" spans="1:13" ht="37.5" customHeight="1" x14ac:dyDescent="0.15">
      <c r="A37" s="72"/>
      <c r="B37" s="72"/>
      <c r="D37" s="72"/>
      <c r="E37" s="72"/>
      <c r="F37" s="96"/>
      <c r="G37" s="96"/>
      <c r="H37" s="98"/>
      <c r="I37" s="72"/>
    </row>
    <row r="38" spans="1:13" ht="37.5" customHeight="1" x14ac:dyDescent="0.15">
      <c r="A38" s="72"/>
      <c r="B38" s="72"/>
      <c r="D38" s="72"/>
      <c r="E38" s="72"/>
      <c r="F38" s="96"/>
      <c r="G38" s="96"/>
      <c r="H38" s="98"/>
      <c r="I38" s="72"/>
    </row>
    <row r="39" spans="1:13" ht="37.5" customHeight="1" x14ac:dyDescent="0.15">
      <c r="A39" s="72"/>
      <c r="B39" s="72"/>
      <c r="D39" s="72"/>
      <c r="E39" s="72"/>
      <c r="F39" s="96"/>
      <c r="G39" s="96"/>
      <c r="H39" s="98"/>
      <c r="I39" s="96"/>
      <c r="J39" s="97"/>
      <c r="K39" s="97"/>
      <c r="L39" s="97"/>
      <c r="M39" s="97"/>
    </row>
    <row r="40" spans="1:13" ht="37.5" customHeight="1" x14ac:dyDescent="0.15">
      <c r="A40" s="72"/>
      <c r="B40" s="72"/>
      <c r="D40" s="72"/>
      <c r="E40" s="72"/>
      <c r="F40" s="96"/>
      <c r="G40" s="96"/>
      <c r="H40" s="98"/>
      <c r="I40" s="96"/>
      <c r="J40" s="97"/>
      <c r="K40" s="97"/>
      <c r="L40" s="97"/>
      <c r="M40" s="97"/>
    </row>
    <row r="41" spans="1:13" ht="37.5" customHeight="1" x14ac:dyDescent="0.15">
      <c r="A41" s="72"/>
      <c r="B41" s="72"/>
      <c r="D41" s="72"/>
      <c r="E41" s="72"/>
      <c r="F41" s="96"/>
      <c r="G41" s="96"/>
      <c r="H41" s="98"/>
      <c r="I41" s="96"/>
      <c r="J41" s="97"/>
      <c r="K41" s="97"/>
      <c r="L41" s="97"/>
      <c r="M41" s="97"/>
    </row>
    <row r="42" spans="1:13" ht="37.5" customHeight="1" x14ac:dyDescent="0.15">
      <c r="A42" s="72"/>
      <c r="B42" s="72"/>
      <c r="D42" s="72"/>
      <c r="E42" s="72"/>
      <c r="F42" s="96"/>
      <c r="G42" s="96"/>
      <c r="H42" s="98"/>
      <c r="I42" s="96"/>
      <c r="J42" s="97"/>
      <c r="K42" s="97"/>
      <c r="L42" s="97"/>
      <c r="M42" s="97"/>
    </row>
    <row r="43" spans="1:13" x14ac:dyDescent="0.15">
      <c r="B43" s="96"/>
      <c r="C43" s="97"/>
      <c r="D43" s="96"/>
      <c r="E43" s="96"/>
      <c r="F43" s="96"/>
      <c r="G43" s="96"/>
      <c r="H43" s="98"/>
    </row>
  </sheetData>
  <mergeCells count="12">
    <mergeCell ref="A10:A11"/>
    <mergeCell ref="B10:B11"/>
    <mergeCell ref="C10:C11"/>
    <mergeCell ref="D10:G10"/>
    <mergeCell ref="I10:I11"/>
    <mergeCell ref="I21:I22"/>
    <mergeCell ref="J21:M21"/>
    <mergeCell ref="Q4:R4"/>
    <mergeCell ref="S4:U4"/>
    <mergeCell ref="Q5:R5"/>
    <mergeCell ref="S5:U5"/>
    <mergeCell ref="J10:M10"/>
  </mergeCells>
  <phoneticPr fontId="1"/>
  <pageMargins left="0.7" right="0.7" top="0.75" bottom="0.75" header="0.3" footer="0.3"/>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令和6年度</vt:lpstr>
      <vt:lpstr>給与収入</vt:lpstr>
      <vt:lpstr>年金収入</vt:lpstr>
      <vt:lpstr>早読表</vt:lpstr>
      <vt:lpstr>給与収入!Print_Area</vt:lpstr>
      <vt:lpstr>令和6年度!Print_Area</vt:lpstr>
    </vt:vector>
  </TitlesOfParts>
  <Company>韮崎市役所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細川　雅弥</dc:creator>
  <cp:lastModifiedBy>F136DOZU(【番号】　税務課窓口④)</cp:lastModifiedBy>
  <cp:lastPrinted>2024-04-02T06:50:19Z</cp:lastPrinted>
  <dcterms:created xsi:type="dcterms:W3CDTF">2016-04-26T05:13:48Z</dcterms:created>
  <dcterms:modified xsi:type="dcterms:W3CDTF">2025-02-24T23:20:00Z</dcterms:modified>
</cp:coreProperties>
</file>